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5760" yWindow="3390" windowWidth="17280" windowHeight="8970" tabRatio="814" activeTab="2"/>
  </bookViews>
  <sheets>
    <sheet name="1. RESUMO DE PROJETO" sheetId="11" r:id="rId1"/>
    <sheet name="2. ECONOMIA DE ENERGIA" sheetId="7" r:id="rId2"/>
    <sheet name="3. INVESTIMENTO GLOBAL" sheetId="10" r:id="rId3"/>
    <sheet name="4. COMPOSIÇÃO DOS SERVIÇOS" sheetId="5" r:id="rId4"/>
    <sheet name="4.a_KIT DE MATERIAIS" sheetId="3" r:id="rId5"/>
    <sheet name="4.b_SERV_MAO OBRA OPERACIONAL" sheetId="1" r:id="rId6"/>
    <sheet name="4.c_SERV._TÉCNICO E ENGENHARIA" sheetId="2" r:id="rId7"/>
    <sheet name="4.d_EQUIPAMENTOS_VEÍCULOS" sheetId="4" r:id="rId8"/>
    <sheet name="5. CRONOGRAMA DE EXECUÇÃO" sheetId="12" r:id="rId9"/>
    <sheet name="6. COMPOSIÇÃO DE BDI" sheetId="6" r:id="rId10"/>
    <sheet name="7. ADM LOCAL" sheetId="13" r:id="rId11"/>
    <sheet name="8. ESTUDO DE FLUXO MINIMO" sheetId="14" r:id="rId12"/>
    <sheet name="ANEXO E TERMO DE REFERENCIA" sheetId="15" r:id="rId13"/>
  </sheets>
  <externalReferences>
    <externalReference r:id="rId14"/>
  </externalReferences>
  <definedNames>
    <definedName name="_xlnm.Print_Area" localSheetId="12">'ANEXO E TERMO DE REFERENCIA'!$A$16:$L$188</definedName>
  </definedName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7"/>
  <c r="E43" i="15"/>
  <c r="H69"/>
  <c r="I40"/>
  <c r="H40"/>
  <c r="G40"/>
  <c r="H67"/>
  <c r="G67"/>
  <c r="G60" s="1"/>
  <c r="G69" s="1"/>
  <c r="F67"/>
  <c r="F60" s="1"/>
  <c r="F69" s="1"/>
  <c r="E67"/>
  <c r="E60" s="1"/>
  <c r="E69" s="1"/>
  <c r="D67"/>
  <c r="D60" s="1"/>
  <c r="D69" s="1"/>
  <c r="C67"/>
  <c r="C60" s="1"/>
  <c r="C69" s="1"/>
  <c r="L38"/>
  <c r="L31" s="1"/>
  <c r="L40" s="1"/>
  <c r="K38"/>
  <c r="K31" s="1"/>
  <c r="K40" s="1"/>
  <c r="J38"/>
  <c r="J31" s="1"/>
  <c r="J40" s="1"/>
  <c r="I38"/>
  <c r="H38"/>
  <c r="G38"/>
  <c r="F38"/>
  <c r="F31" s="1"/>
  <c r="F40" s="1"/>
  <c r="E38"/>
  <c r="E31" s="1"/>
  <c r="E40" s="1"/>
  <c r="B35"/>
  <c r="B33"/>
  <c r="H15" i="13" l="1"/>
  <c r="I42" i="14"/>
  <c r="D42"/>
  <c r="D47" s="1"/>
  <c r="I60" i="7"/>
  <c r="I37" i="14"/>
  <c r="F37" s="1"/>
  <c r="I40"/>
  <c r="D39"/>
  <c r="A39" s="1"/>
  <c r="I28"/>
  <c r="I39" s="1"/>
  <c r="F39" s="1"/>
  <c r="D28"/>
  <c r="I38" s="1"/>
  <c r="F38" s="1"/>
  <c r="I27"/>
  <c r="D27"/>
  <c r="D38" s="1"/>
  <c r="A38" s="1"/>
  <c r="I19"/>
  <c r="D19"/>
  <c r="I36" s="1"/>
  <c r="F36" s="1"/>
  <c r="I18"/>
  <c r="D37" s="1"/>
  <c r="A37" s="1"/>
  <c r="D18"/>
  <c r="D36" s="1"/>
  <c r="A36" s="1"/>
  <c r="I10"/>
  <c r="I35" s="1"/>
  <c r="F35" s="1"/>
  <c r="D10"/>
  <c r="I34" s="1"/>
  <c r="F34" s="1"/>
  <c r="I9"/>
  <c r="D35" s="1"/>
  <c r="A35" s="1"/>
  <c r="D9"/>
  <c r="D34" s="1"/>
  <c r="A34" s="1"/>
  <c r="E17" i="10"/>
  <c r="E10" i="13"/>
  <c r="E50" i="2"/>
  <c r="H46"/>
  <c r="G10" i="13"/>
  <c r="E9"/>
  <c r="H9" s="1"/>
  <c r="F32"/>
  <c r="H7"/>
  <c r="F31"/>
  <c r="H6"/>
  <c r="F30"/>
  <c r="H5"/>
  <c r="F29"/>
  <c r="A40" i="14" l="1"/>
  <c r="D43" s="1"/>
  <c r="D48" s="1"/>
  <c r="D49" s="1"/>
  <c r="F40"/>
  <c r="I43" s="1"/>
  <c r="I48" s="1"/>
  <c r="I47"/>
  <c r="H10" i="13"/>
  <c r="H11" s="1"/>
  <c r="D52" i="14" l="1"/>
  <c r="D51"/>
  <c r="I49"/>
  <c r="I44"/>
  <c r="I45" s="1"/>
  <c r="D44"/>
  <c r="D45" s="1"/>
  <c r="E15" i="10"/>
  <c r="F15" s="1"/>
  <c r="I52" i="14" l="1"/>
  <c r="I51"/>
  <c r="F31" i="12"/>
  <c r="G31"/>
  <c r="M61" i="11"/>
  <c r="G64"/>
  <c r="H64"/>
  <c r="F64"/>
  <c r="F29"/>
  <c r="F28"/>
  <c r="F30" s="1"/>
  <c r="D29"/>
  <c r="D28"/>
  <c r="J10" l="1"/>
  <c r="J12" s="1"/>
  <c r="K10"/>
  <c r="K12" s="1"/>
  <c r="I10"/>
  <c r="I12" s="1"/>
  <c r="D30"/>
  <c r="D31"/>
  <c r="D16" l="1"/>
  <c r="D61" s="1"/>
  <c r="K90" i="7"/>
  <c r="D3" i="11"/>
  <c r="D60" s="1"/>
  <c r="D62" s="1"/>
  <c r="D4"/>
  <c r="I93" i="7"/>
  <c r="K36" i="11"/>
  <c r="K40"/>
  <c r="C54"/>
  <c r="D46"/>
  <c r="D47"/>
  <c r="D63" l="1"/>
  <c r="M63" s="1"/>
  <c r="D68"/>
  <c r="K63"/>
  <c r="L63"/>
  <c r="J63"/>
  <c r="I63"/>
  <c r="F3"/>
  <c r="D18"/>
  <c r="I16"/>
  <c r="D19"/>
  <c r="L16"/>
  <c r="H16"/>
  <c r="K16"/>
  <c r="G16"/>
  <c r="F16"/>
  <c r="J22" s="1"/>
  <c r="J16"/>
  <c r="L3"/>
  <c r="G3"/>
  <c r="I3"/>
  <c r="J3"/>
  <c r="K3"/>
  <c r="M3"/>
  <c r="F9" s="1"/>
  <c r="H3"/>
  <c r="D6"/>
  <c r="D5"/>
  <c r="F63" l="1"/>
  <c r="H63"/>
  <c r="G63"/>
  <c r="D66"/>
  <c r="D8"/>
  <c r="F22"/>
  <c r="E57" i="12" l="1"/>
  <c r="F57"/>
  <c r="G57"/>
  <c r="H57"/>
  <c r="I57"/>
  <c r="J57"/>
  <c r="K57"/>
  <c r="D57"/>
  <c r="E56"/>
  <c r="F56"/>
  <c r="G56"/>
  <c r="H56"/>
  <c r="H58" s="1"/>
  <c r="I56"/>
  <c r="J56"/>
  <c r="K56"/>
  <c r="D56"/>
  <c r="E46"/>
  <c r="G17" i="11" s="1"/>
  <c r="D46" i="12"/>
  <c r="F17" i="11" s="1"/>
  <c r="C35" i="12"/>
  <c r="C33"/>
  <c r="G60"/>
  <c r="W58"/>
  <c r="V58"/>
  <c r="U58"/>
  <c r="T58"/>
  <c r="S58"/>
  <c r="R58"/>
  <c r="Q58"/>
  <c r="P58"/>
  <c r="O58"/>
  <c r="N58"/>
  <c r="M58"/>
  <c r="L58"/>
  <c r="F60"/>
  <c r="E60"/>
  <c r="D60"/>
  <c r="K58"/>
  <c r="J58"/>
  <c r="I58"/>
  <c r="G58"/>
  <c r="F58"/>
  <c r="F63" s="1"/>
  <c r="F65" s="1"/>
  <c r="F66" s="1"/>
  <c r="H4" i="11" s="1"/>
  <c r="E58" i="12"/>
  <c r="E63" s="1"/>
  <c r="E65" s="1"/>
  <c r="E66" s="1"/>
  <c r="G4" i="11" s="1"/>
  <c r="D58" i="12"/>
  <c r="D63" s="1"/>
  <c r="D65" s="1"/>
  <c r="D66" s="1"/>
  <c r="F43"/>
  <c r="S40"/>
  <c r="J40"/>
  <c r="I40"/>
  <c r="H40"/>
  <c r="S38"/>
  <c r="R38"/>
  <c r="Q38"/>
  <c r="Q31" s="1"/>
  <c r="Q40" s="1"/>
  <c r="P38"/>
  <c r="O38"/>
  <c r="N38"/>
  <c r="M38"/>
  <c r="L38"/>
  <c r="K38"/>
  <c r="J38"/>
  <c r="I38"/>
  <c r="H38"/>
  <c r="G38"/>
  <c r="F38"/>
  <c r="F40" s="1"/>
  <c r="R31"/>
  <c r="R40" s="1"/>
  <c r="P31"/>
  <c r="P40" s="1"/>
  <c r="O31"/>
  <c r="O40" s="1"/>
  <c r="N31"/>
  <c r="N40" s="1"/>
  <c r="M31"/>
  <c r="M40" s="1"/>
  <c r="L31"/>
  <c r="L40" s="1"/>
  <c r="K31"/>
  <c r="K40" s="1"/>
  <c r="G40"/>
  <c r="A28"/>
  <c r="A26"/>
  <c r="A24"/>
  <c r="A22"/>
  <c r="A20"/>
  <c r="A18"/>
  <c r="J61" i="2"/>
  <c r="J29"/>
  <c r="J12"/>
  <c r="J5"/>
  <c r="F25" s="1"/>
  <c r="D5" i="10"/>
  <c r="D7"/>
  <c r="B20" i="15" s="1"/>
  <c r="D8" i="10"/>
  <c r="B22" i="15" s="1"/>
  <c r="D9" i="10"/>
  <c r="B24" i="15" s="1"/>
  <c r="D10" i="10"/>
  <c r="B26" i="15" s="1"/>
  <c r="D11" i="10"/>
  <c r="B28" i="15" s="1"/>
  <c r="D6" i="10"/>
  <c r="B18" i="15" s="1"/>
  <c r="B38" s="1"/>
  <c r="B14" i="10"/>
  <c r="B13"/>
  <c r="B12"/>
  <c r="B11"/>
  <c r="B10"/>
  <c r="B9"/>
  <c r="B8"/>
  <c r="B7"/>
  <c r="B6"/>
  <c r="F4" i="11" l="1"/>
  <c r="H60"/>
  <c r="H6"/>
  <c r="H5"/>
  <c r="G60"/>
  <c r="G6"/>
  <c r="G5"/>
  <c r="G61"/>
  <c r="G18"/>
  <c r="G19"/>
  <c r="F61"/>
  <c r="F19"/>
  <c r="F18"/>
  <c r="D12" i="10"/>
  <c r="B31" i="15" s="1"/>
  <c r="B40" s="1"/>
  <c r="D37" i="11"/>
  <c r="C28" i="12"/>
  <c r="D42" i="11"/>
  <c r="C26" i="12"/>
  <c r="D41" i="11"/>
  <c r="C24" i="12"/>
  <c r="D40" i="11"/>
  <c r="C22" i="12"/>
  <c r="D39" i="11"/>
  <c r="C20" i="12"/>
  <c r="D38" i="11"/>
  <c r="C18" i="12"/>
  <c r="V59"/>
  <c r="R59"/>
  <c r="N59"/>
  <c r="J59"/>
  <c r="U59"/>
  <c r="Q59"/>
  <c r="M59"/>
  <c r="I59"/>
  <c r="T59"/>
  <c r="P59"/>
  <c r="L59"/>
  <c r="H59"/>
  <c r="S59"/>
  <c r="O59"/>
  <c r="K59"/>
  <c r="W59"/>
  <c r="G59"/>
  <c r="H60" s="1"/>
  <c r="F60" i="11" l="1"/>
  <c r="F62" s="1"/>
  <c r="F66" s="1"/>
  <c r="F5"/>
  <c r="F6"/>
  <c r="G62"/>
  <c r="G66" s="1"/>
  <c r="C53"/>
  <c r="C51"/>
  <c r="C38" i="12"/>
  <c r="D45" s="1"/>
  <c r="D45" i="11"/>
  <c r="C31" i="12"/>
  <c r="C40" s="1"/>
  <c r="C52" i="11"/>
  <c r="H62" i="12"/>
  <c r="H61" s="1"/>
  <c r="H63" s="1"/>
  <c r="H65" s="1"/>
  <c r="H66" s="1"/>
  <c r="J4" i="11" s="1"/>
  <c r="I60" i="12"/>
  <c r="G62"/>
  <c r="G61" s="1"/>
  <c r="G63" s="1"/>
  <c r="G65" s="1"/>
  <c r="G66" s="1"/>
  <c r="L62"/>
  <c r="L61" s="1"/>
  <c r="M60"/>
  <c r="A86" i="5"/>
  <c r="A85"/>
  <c r="A79"/>
  <c r="A78"/>
  <c r="A72"/>
  <c r="A71"/>
  <c r="A65"/>
  <c r="A64"/>
  <c r="A63"/>
  <c r="A62"/>
  <c r="A61"/>
  <c r="A60"/>
  <c r="A54"/>
  <c r="A53"/>
  <c r="A52"/>
  <c r="A51"/>
  <c r="A50"/>
  <c r="A49"/>
  <c r="A43"/>
  <c r="A42"/>
  <c r="A41"/>
  <c r="A40"/>
  <c r="A39"/>
  <c r="A38"/>
  <c r="A32"/>
  <c r="A31"/>
  <c r="A30"/>
  <c r="A29"/>
  <c r="A28"/>
  <c r="A27"/>
  <c r="A21"/>
  <c r="A20"/>
  <c r="A19"/>
  <c r="A18"/>
  <c r="A17"/>
  <c r="A16"/>
  <c r="A10"/>
  <c r="A9"/>
  <c r="A8"/>
  <c r="A7"/>
  <c r="A6"/>
  <c r="A5"/>
  <c r="D84"/>
  <c r="E84" s="1"/>
  <c r="A84"/>
  <c r="D86"/>
  <c r="E86" s="1"/>
  <c r="D85"/>
  <c r="E85" s="1"/>
  <c r="D79"/>
  <c r="E79" s="1"/>
  <c r="D78"/>
  <c r="E78" s="1"/>
  <c r="D72"/>
  <c r="E72" s="1"/>
  <c r="D71"/>
  <c r="E71" s="1"/>
  <c r="D65"/>
  <c r="E65" s="1"/>
  <c r="D60"/>
  <c r="E60" s="1"/>
  <c r="D54"/>
  <c r="E54" s="1"/>
  <c r="D49"/>
  <c r="E49" s="1"/>
  <c r="D43"/>
  <c r="E43" s="1"/>
  <c r="D38"/>
  <c r="E38" s="1"/>
  <c r="D32"/>
  <c r="D27"/>
  <c r="E27" s="1"/>
  <c r="D21"/>
  <c r="E21" s="1"/>
  <c r="D16"/>
  <c r="E16" s="1"/>
  <c r="D10"/>
  <c r="D5"/>
  <c r="D77"/>
  <c r="E77" s="1"/>
  <c r="A77"/>
  <c r="D70"/>
  <c r="E70" s="1"/>
  <c r="A70"/>
  <c r="A48"/>
  <c r="A59"/>
  <c r="D37"/>
  <c r="E37" s="1"/>
  <c r="A37"/>
  <c r="D26"/>
  <c r="E26" s="1"/>
  <c r="A26"/>
  <c r="E32"/>
  <c r="D15"/>
  <c r="E15" s="1"/>
  <c r="A15"/>
  <c r="E91" i="2"/>
  <c r="E89"/>
  <c r="E88"/>
  <c r="E87"/>
  <c r="E90"/>
  <c r="E86"/>
  <c r="D87"/>
  <c r="F87" s="1"/>
  <c r="D88"/>
  <c r="F88" s="1"/>
  <c r="D89"/>
  <c r="F89" s="1"/>
  <c r="D90"/>
  <c r="F90" s="1"/>
  <c r="D91"/>
  <c r="F91" s="1"/>
  <c r="D86"/>
  <c r="F86" s="1"/>
  <c r="H58"/>
  <c r="H57"/>
  <c r="G55"/>
  <c r="H53"/>
  <c r="H54"/>
  <c r="H52"/>
  <c r="E55"/>
  <c r="G50"/>
  <c r="H50" s="1"/>
  <c r="I4" i="11" l="1"/>
  <c r="J60"/>
  <c r="J6"/>
  <c r="J5"/>
  <c r="C55"/>
  <c r="E45" i="12"/>
  <c r="C45"/>
  <c r="K45" i="11"/>
  <c r="C56"/>
  <c r="F45" i="12"/>
  <c r="G45" s="1"/>
  <c r="H45" s="1"/>
  <c r="I45" s="1"/>
  <c r="J45" s="1"/>
  <c r="K45" s="1"/>
  <c r="L45" s="1"/>
  <c r="M45" s="1"/>
  <c r="N45" s="1"/>
  <c r="O45" s="1"/>
  <c r="P45" s="1"/>
  <c r="Q45" s="1"/>
  <c r="R45" s="1"/>
  <c r="R46" s="1"/>
  <c r="J60"/>
  <c r="I62"/>
  <c r="I61" s="1"/>
  <c r="I63" s="1"/>
  <c r="I65" s="1"/>
  <c r="I66" s="1"/>
  <c r="K4" i="11" s="1"/>
  <c r="N60" i="12"/>
  <c r="M62"/>
  <c r="E87" i="5"/>
  <c r="E14" i="10" s="1"/>
  <c r="E80" i="5"/>
  <c r="E13" i="10" s="1"/>
  <c r="E73" i="5"/>
  <c r="E12" i="10" s="1"/>
  <c r="F92" i="2"/>
  <c r="G86"/>
  <c r="G88"/>
  <c r="G90"/>
  <c r="G87"/>
  <c r="G89"/>
  <c r="G91"/>
  <c r="H55"/>
  <c r="F77"/>
  <c r="F76"/>
  <c r="F75"/>
  <c r="F74"/>
  <c r="F73"/>
  <c r="F72"/>
  <c r="F71"/>
  <c r="F70"/>
  <c r="F69"/>
  <c r="F68"/>
  <c r="H49"/>
  <c r="H48"/>
  <c r="H47"/>
  <c r="H44"/>
  <c r="H43"/>
  <c r="H42"/>
  <c r="H41"/>
  <c r="H40"/>
  <c r="H39"/>
  <c r="H38"/>
  <c r="I60" i="11" l="1"/>
  <c r="I6"/>
  <c r="I5"/>
  <c r="K60"/>
  <c r="K5"/>
  <c r="K6"/>
  <c r="J46" i="12"/>
  <c r="L17" i="11" s="1"/>
  <c r="L61" s="1"/>
  <c r="K46" i="12"/>
  <c r="N46"/>
  <c r="O46"/>
  <c r="P46"/>
  <c r="M46"/>
  <c r="H46"/>
  <c r="J17" i="11" s="1"/>
  <c r="J19" s="1"/>
  <c r="Q46" i="12"/>
  <c r="I46"/>
  <c r="K17" i="11" s="1"/>
  <c r="K61" s="1"/>
  <c r="K62" s="1"/>
  <c r="G46" i="12"/>
  <c r="I17" i="11" s="1"/>
  <c r="I61" s="1"/>
  <c r="I62" s="1"/>
  <c r="F46" i="12"/>
  <c r="H17" i="11" s="1"/>
  <c r="H19" s="1"/>
  <c r="L46" i="12"/>
  <c r="J62"/>
  <c r="J61" s="1"/>
  <c r="J63" s="1"/>
  <c r="J65" s="1"/>
  <c r="J66" s="1"/>
  <c r="L4" i="11" s="1"/>
  <c r="K60" i="12"/>
  <c r="K61" s="1"/>
  <c r="O60"/>
  <c r="N62"/>
  <c r="G92" i="2"/>
  <c r="G60" s="1"/>
  <c r="H60" s="1"/>
  <c r="F78"/>
  <c r="L60" i="11" l="1"/>
  <c r="L5"/>
  <c r="L6"/>
  <c r="L62"/>
  <c r="L19"/>
  <c r="L18"/>
  <c r="H61"/>
  <c r="H62" s="1"/>
  <c r="H66" s="1"/>
  <c r="H18"/>
  <c r="F12" i="10"/>
  <c r="F13"/>
  <c r="F23" i="11"/>
  <c r="J23" s="1"/>
  <c r="J24" s="1"/>
  <c r="K42" s="1"/>
  <c r="J18"/>
  <c r="F14" i="10"/>
  <c r="I18" i="11"/>
  <c r="J61"/>
  <c r="J62" s="1"/>
  <c r="C46" i="12"/>
  <c r="K18" i="11"/>
  <c r="I19"/>
  <c r="K19"/>
  <c r="O62" i="12"/>
  <c r="P60"/>
  <c r="K62"/>
  <c r="K63"/>
  <c r="G36" i="2"/>
  <c r="H36" s="1"/>
  <c r="H61" l="1"/>
  <c r="J62" s="1"/>
  <c r="F24" i="11"/>
  <c r="L63" i="12"/>
  <c r="K65"/>
  <c r="K66" s="1"/>
  <c r="P62"/>
  <c r="Q60"/>
  <c r="M4" i="11" l="1"/>
  <c r="D63" i="5"/>
  <c r="E63" s="1"/>
  <c r="D52"/>
  <c r="E52" s="1"/>
  <c r="D8"/>
  <c r="E8" s="1"/>
  <c r="D41"/>
  <c r="E41" s="1"/>
  <c r="D19"/>
  <c r="E19" s="1"/>
  <c r="D30"/>
  <c r="E30" s="1"/>
  <c r="R60" i="12"/>
  <c r="Q62"/>
  <c r="L65"/>
  <c r="L66" s="1"/>
  <c r="M63"/>
  <c r="F10" i="11" l="1"/>
  <c r="M6"/>
  <c r="M5"/>
  <c r="N63" i="12"/>
  <c r="M65"/>
  <c r="M66" s="1"/>
  <c r="S60"/>
  <c r="R62"/>
  <c r="D9" i="11" l="1"/>
  <c r="D10" s="1"/>
  <c r="F11"/>
  <c r="K38" s="1"/>
  <c r="K53" s="1"/>
  <c r="O63" i="12"/>
  <c r="N65"/>
  <c r="N66" s="1"/>
  <c r="S62"/>
  <c r="T60"/>
  <c r="P63" l="1"/>
  <c r="O65"/>
  <c r="O66" s="1"/>
  <c r="T62"/>
  <c r="U60"/>
  <c r="V60" l="1"/>
  <c r="U62"/>
  <c r="P65"/>
  <c r="P66" s="1"/>
  <c r="Q63"/>
  <c r="R63" l="1"/>
  <c r="Q65"/>
  <c r="Q66" s="1"/>
  <c r="W60"/>
  <c r="W62" s="1"/>
  <c r="V62"/>
  <c r="S63" l="1"/>
  <c r="R65"/>
  <c r="R66" s="1"/>
  <c r="T63" l="1"/>
  <c r="S65"/>
  <c r="S66" s="1"/>
  <c r="T65" l="1"/>
  <c r="T66" s="1"/>
  <c r="U63"/>
  <c r="V63" l="1"/>
  <c r="U65"/>
  <c r="U66" s="1"/>
  <c r="W63" l="1"/>
  <c r="V65"/>
  <c r="V66" s="1"/>
  <c r="X63" l="1"/>
  <c r="W65"/>
  <c r="W66" s="1"/>
  <c r="X65" l="1"/>
  <c r="X66" s="1"/>
  <c r="Y63"/>
  <c r="Z63" l="1"/>
  <c r="Y65"/>
  <c r="Y66" s="1"/>
  <c r="AA63" l="1"/>
  <c r="Z65"/>
  <c r="Z66" s="1"/>
  <c r="AB63" l="1"/>
  <c r="AA65"/>
  <c r="AA66" s="1"/>
  <c r="AB65" l="1"/>
  <c r="AB66" s="1"/>
  <c r="AC63"/>
  <c r="AD63" l="1"/>
  <c r="AC65"/>
  <c r="AC66" s="1"/>
  <c r="AE63" l="1"/>
  <c r="AD65"/>
  <c r="AD66" s="1"/>
  <c r="AF63" l="1"/>
  <c r="AE65"/>
  <c r="AE66" s="1"/>
  <c r="AF65" l="1"/>
  <c r="AF66" s="1"/>
  <c r="AG63"/>
  <c r="AH63" l="1"/>
  <c r="AG65"/>
  <c r="AG66" s="1"/>
  <c r="AI63" l="1"/>
  <c r="AH65"/>
  <c r="AH66" s="1"/>
  <c r="AJ63" l="1"/>
  <c r="AI65"/>
  <c r="AI66" s="1"/>
  <c r="AJ65" l="1"/>
  <c r="AJ66" s="1"/>
  <c r="AK63"/>
  <c r="AL63" l="1"/>
  <c r="AK65"/>
  <c r="AK66" s="1"/>
  <c r="AM63" l="1"/>
  <c r="AL65"/>
  <c r="AL66" s="1"/>
  <c r="AN63" l="1"/>
  <c r="AM65"/>
  <c r="AM66" s="1"/>
  <c r="AN65" l="1"/>
  <c r="AN66" s="1"/>
  <c r="AO63"/>
  <c r="AP63" l="1"/>
  <c r="AO65"/>
  <c r="AO66" s="1"/>
  <c r="AQ63" l="1"/>
  <c r="AP65"/>
  <c r="AP66" s="1"/>
  <c r="AR63" l="1"/>
  <c r="AQ65"/>
  <c r="AQ66" s="1"/>
  <c r="AR65" l="1"/>
  <c r="AR66" s="1"/>
  <c r="AS63"/>
  <c r="AT63" l="1"/>
  <c r="AS65"/>
  <c r="AS66" s="1"/>
  <c r="AU63" l="1"/>
  <c r="AT65"/>
  <c r="AT66" s="1"/>
  <c r="AV63" l="1"/>
  <c r="AU65"/>
  <c r="AU66" s="1"/>
  <c r="AV65" l="1"/>
  <c r="AV66" s="1"/>
  <c r="AW63"/>
  <c r="AX63" l="1"/>
  <c r="AW65"/>
  <c r="AW66" s="1"/>
  <c r="AY63" l="1"/>
  <c r="AX65"/>
  <c r="AX66" s="1"/>
  <c r="AZ63" l="1"/>
  <c r="AY65"/>
  <c r="AY66" s="1"/>
  <c r="AZ65" l="1"/>
  <c r="AZ66" s="1"/>
  <c r="BA63"/>
  <c r="BB63" l="1"/>
  <c r="BA65"/>
  <c r="BA66" s="1"/>
  <c r="BC63" l="1"/>
  <c r="BB65"/>
  <c r="BB66" s="1"/>
  <c r="BD63" l="1"/>
  <c r="BC65"/>
  <c r="BC66" s="1"/>
  <c r="BD65" l="1"/>
  <c r="BD66" s="1"/>
  <c r="BE63"/>
  <c r="BF63" l="1"/>
  <c r="BE65"/>
  <c r="BE66" s="1"/>
  <c r="BG63" l="1"/>
  <c r="BF65"/>
  <c r="BF66" s="1"/>
  <c r="BH63" l="1"/>
  <c r="BG65"/>
  <c r="BG66" s="1"/>
  <c r="BH65" l="1"/>
  <c r="BH66" s="1"/>
  <c r="BI63"/>
  <c r="BJ63" l="1"/>
  <c r="BI65"/>
  <c r="BI66" s="1"/>
  <c r="BK63" l="1"/>
  <c r="BK65" s="1"/>
  <c r="BK66" s="1"/>
  <c r="BJ65"/>
  <c r="BJ66" s="1"/>
  <c r="C66" l="1"/>
  <c r="X91" i="7" s="1"/>
  <c r="K37" i="11" s="1"/>
  <c r="M60"/>
  <c r="M62" s="1"/>
  <c r="I102" i="7"/>
  <c r="I103" s="1"/>
  <c r="I105" s="1"/>
  <c r="D101"/>
  <c r="G85"/>
  <c r="G84"/>
  <c r="G79"/>
  <c r="G78"/>
  <c r="G73"/>
  <c r="H72"/>
  <c r="I72" s="1"/>
  <c r="F72"/>
  <c r="F71"/>
  <c r="H71" s="1"/>
  <c r="I71" s="1"/>
  <c r="F70"/>
  <c r="H70" s="1"/>
  <c r="I70" s="1"/>
  <c r="F69"/>
  <c r="H69" s="1"/>
  <c r="I69" s="1"/>
  <c r="H68"/>
  <c r="I68" s="1"/>
  <c r="F68"/>
  <c r="F67"/>
  <c r="H67" s="1"/>
  <c r="I67" s="1"/>
  <c r="F66"/>
  <c r="H66" s="1"/>
  <c r="F65"/>
  <c r="H65" s="1"/>
  <c r="I65" s="1"/>
  <c r="F64"/>
  <c r="H64" s="1"/>
  <c r="I64" s="1"/>
  <c r="F63"/>
  <c r="H63" s="1"/>
  <c r="I63" s="1"/>
  <c r="F62"/>
  <c r="H62" s="1"/>
  <c r="I62" s="1"/>
  <c r="F61"/>
  <c r="H61" s="1"/>
  <c r="I61" s="1"/>
  <c r="H60"/>
  <c r="F60"/>
  <c r="G50"/>
  <c r="G49"/>
  <c r="G48"/>
  <c r="G47"/>
  <c r="G46"/>
  <c r="G45"/>
  <c r="H35"/>
  <c r="G34"/>
  <c r="G39" s="1"/>
  <c r="G40" s="1"/>
  <c r="F33"/>
  <c r="H33" s="1"/>
  <c r="I33" s="1"/>
  <c r="F32"/>
  <c r="H32" s="1"/>
  <c r="I32" s="1"/>
  <c r="F31"/>
  <c r="H31" s="1"/>
  <c r="I31" s="1"/>
  <c r="H30"/>
  <c r="I30" s="1"/>
  <c r="F30"/>
  <c r="F29"/>
  <c r="H29" s="1"/>
  <c r="I29" s="1"/>
  <c r="F28"/>
  <c r="H28" s="1"/>
  <c r="I28" s="1"/>
  <c r="F27"/>
  <c r="H27" s="1"/>
  <c r="H26"/>
  <c r="I26" s="1"/>
  <c r="F26"/>
  <c r="F25"/>
  <c r="H25" s="1"/>
  <c r="I25" s="1"/>
  <c r="F24"/>
  <c r="H24" s="1"/>
  <c r="H49" s="1"/>
  <c r="F23"/>
  <c r="H23" s="1"/>
  <c r="I23" s="1"/>
  <c r="W22"/>
  <c r="H87" s="1"/>
  <c r="F22"/>
  <c r="H22" s="1"/>
  <c r="I22" s="1"/>
  <c r="H21"/>
  <c r="I21" s="1"/>
  <c r="F21"/>
  <c r="F20"/>
  <c r="H20" s="1"/>
  <c r="I20" s="1"/>
  <c r="F19"/>
  <c r="H19" s="1"/>
  <c r="H48" s="1"/>
  <c r="F18"/>
  <c r="H18" s="1"/>
  <c r="I18" s="1"/>
  <c r="H17"/>
  <c r="I17" s="1"/>
  <c r="F17"/>
  <c r="F16"/>
  <c r="H16" s="1"/>
  <c r="I16" s="1"/>
  <c r="F15"/>
  <c r="H15" s="1"/>
  <c r="I15" s="1"/>
  <c r="F14"/>
  <c r="H14" s="1"/>
  <c r="I14" s="1"/>
  <c r="H13"/>
  <c r="F13"/>
  <c r="F12"/>
  <c r="H12" s="1"/>
  <c r="I12" s="1"/>
  <c r="F11"/>
  <c r="H11" s="1"/>
  <c r="I11" s="1"/>
  <c r="F10"/>
  <c r="H10" s="1"/>
  <c r="H9"/>
  <c r="I9" s="1"/>
  <c r="F9"/>
  <c r="S8"/>
  <c r="F8"/>
  <c r="H8" s="1"/>
  <c r="I8" s="1"/>
  <c r="H7"/>
  <c r="F7"/>
  <c r="O6"/>
  <c r="M6"/>
  <c r="N4"/>
  <c r="A4" i="5"/>
  <c r="I20" i="6"/>
  <c r="I19"/>
  <c r="I18"/>
  <c r="I17"/>
  <c r="I14"/>
  <c r="I15" s="1"/>
  <c r="D38" s="1"/>
  <c r="I12"/>
  <c r="I13" s="1"/>
  <c r="I10"/>
  <c r="I9"/>
  <c r="I8"/>
  <c r="I11" s="1"/>
  <c r="B38" s="1"/>
  <c r="H73" i="3"/>
  <c r="H72"/>
  <c r="H71"/>
  <c r="H70"/>
  <c r="H74" s="1"/>
  <c r="H65"/>
  <c r="H64"/>
  <c r="H63"/>
  <c r="H62"/>
  <c r="H66" s="1"/>
  <c r="H57"/>
  <c r="H56"/>
  <c r="H55"/>
  <c r="H54"/>
  <c r="H49"/>
  <c r="H40"/>
  <c r="H48"/>
  <c r="H47"/>
  <c r="H46"/>
  <c r="H45"/>
  <c r="H39"/>
  <c r="H38"/>
  <c r="H37"/>
  <c r="H36"/>
  <c r="H31"/>
  <c r="H30"/>
  <c r="H29"/>
  <c r="H28"/>
  <c r="H23"/>
  <c r="H22"/>
  <c r="H21"/>
  <c r="H20"/>
  <c r="H15"/>
  <c r="H14"/>
  <c r="H13"/>
  <c r="H12"/>
  <c r="I21" i="6" l="1"/>
  <c r="C35" s="1"/>
  <c r="H41" i="7"/>
  <c r="M8"/>
  <c r="G51"/>
  <c r="F46" s="1"/>
  <c r="N8"/>
  <c r="P8"/>
  <c r="O8"/>
  <c r="H46"/>
  <c r="I10"/>
  <c r="I46" s="1"/>
  <c r="F50"/>
  <c r="F49"/>
  <c r="H47"/>
  <c r="H50"/>
  <c r="I27"/>
  <c r="I50" s="1"/>
  <c r="F47"/>
  <c r="I66"/>
  <c r="I85" s="1"/>
  <c r="H85"/>
  <c r="F84"/>
  <c r="H45"/>
  <c r="H51" s="1"/>
  <c r="H73"/>
  <c r="F85"/>
  <c r="H34"/>
  <c r="H39" s="1"/>
  <c r="H40" s="1"/>
  <c r="H78"/>
  <c r="H79" s="1"/>
  <c r="G86"/>
  <c r="P6"/>
  <c r="I7"/>
  <c r="S9"/>
  <c r="M9" s="1"/>
  <c r="I13"/>
  <c r="I47" s="1"/>
  <c r="F45"/>
  <c r="H52"/>
  <c r="H74"/>
  <c r="H80"/>
  <c r="H84"/>
  <c r="H86" s="1"/>
  <c r="C90"/>
  <c r="C91"/>
  <c r="N6"/>
  <c r="Q6" s="1"/>
  <c r="S7"/>
  <c r="M7" s="1"/>
  <c r="I19"/>
  <c r="I48" s="1"/>
  <c r="I24"/>
  <c r="I49" s="1"/>
  <c r="C39" i="6"/>
  <c r="B43" s="1"/>
  <c r="C38"/>
  <c r="B42" s="1"/>
  <c r="C34"/>
  <c r="D34"/>
  <c r="B34"/>
  <c r="H58" i="3"/>
  <c r="H41"/>
  <c r="D48" i="5" s="1"/>
  <c r="E48" s="1"/>
  <c r="H16" i="3"/>
  <c r="H24"/>
  <c r="H32"/>
  <c r="H50"/>
  <c r="D59" i="5" s="1"/>
  <c r="E59" s="1"/>
  <c r="F48" i="7" l="1"/>
  <c r="F51" s="1"/>
  <c r="Q8"/>
  <c r="N7"/>
  <c r="O7"/>
  <c r="P7"/>
  <c r="C92"/>
  <c r="I84"/>
  <c r="I86" s="1"/>
  <c r="I88" s="1"/>
  <c r="I108"/>
  <c r="I78"/>
  <c r="I79" s="1"/>
  <c r="I81" s="1"/>
  <c r="I91" s="1"/>
  <c r="I73"/>
  <c r="P9"/>
  <c r="O9"/>
  <c r="N9"/>
  <c r="Q9" s="1"/>
  <c r="I75"/>
  <c r="I45"/>
  <c r="I51" s="1"/>
  <c r="I53" s="1"/>
  <c r="I90" s="1"/>
  <c r="I34"/>
  <c r="I107"/>
  <c r="I109" s="1"/>
  <c r="I110" s="1"/>
  <c r="F86"/>
  <c r="B46" i="6"/>
  <c r="F46" s="1"/>
  <c r="Q7" i="7" l="1"/>
  <c r="I92"/>
  <c r="X90"/>
  <c r="X92" s="1"/>
  <c r="I39"/>
  <c r="I40" s="1"/>
  <c r="I42" s="1"/>
  <c r="I36"/>
  <c r="I22" i="6"/>
  <c r="I96" i="7" l="1"/>
  <c r="I95"/>
  <c r="I99" s="1"/>
  <c r="I100" s="1"/>
  <c r="H7" i="3" l="1"/>
  <c r="H6"/>
  <c r="H5"/>
  <c r="H4"/>
  <c r="F17" i="4"/>
  <c r="H17" s="1"/>
  <c r="F16"/>
  <c r="H16" s="1"/>
  <c r="F15"/>
  <c r="H15" s="1"/>
  <c r="F14"/>
  <c r="H14" s="1"/>
  <c r="F6"/>
  <c r="H6" s="1"/>
  <c r="F7"/>
  <c r="H7" s="1"/>
  <c r="F5"/>
  <c r="H5" s="1"/>
  <c r="F4"/>
  <c r="H4" s="1"/>
  <c r="H26" i="2"/>
  <c r="F18"/>
  <c r="H18" s="1"/>
  <c r="H28"/>
  <c r="F19"/>
  <c r="H19" s="1"/>
  <c r="F20"/>
  <c r="H20" s="1"/>
  <c r="F21"/>
  <c r="H21" s="1"/>
  <c r="F23"/>
  <c r="H23" s="1"/>
  <c r="F24"/>
  <c r="H24" s="1"/>
  <c r="H25"/>
  <c r="H27"/>
  <c r="H11"/>
  <c r="H12" s="1"/>
  <c r="J13" s="1"/>
  <c r="H4"/>
  <c r="F21" i="1"/>
  <c r="H21" s="1"/>
  <c r="F8"/>
  <c r="F4"/>
  <c r="H4" s="1"/>
  <c r="F5"/>
  <c r="F7"/>
  <c r="H7" s="1"/>
  <c r="F18"/>
  <c r="F17"/>
  <c r="H17" s="1"/>
  <c r="H18"/>
  <c r="H23"/>
  <c r="F20"/>
  <c r="H20" s="1"/>
  <c r="H10"/>
  <c r="H8"/>
  <c r="H5"/>
  <c r="D62" i="5" l="1"/>
  <c r="E62" s="1"/>
  <c r="D18"/>
  <c r="E18" s="1"/>
  <c r="D29"/>
  <c r="E29" s="1"/>
  <c r="D40"/>
  <c r="E40" s="1"/>
  <c r="D51"/>
  <c r="E51" s="1"/>
  <c r="D7"/>
  <c r="E7" s="1"/>
  <c r="H22" i="2"/>
  <c r="H29" s="1"/>
  <c r="J30" s="1"/>
  <c r="H8" i="3"/>
  <c r="D4" i="5" s="1"/>
  <c r="E4" s="1"/>
  <c r="H18" i="4"/>
  <c r="H6" i="1"/>
  <c r="H9" s="1"/>
  <c r="H11" s="1"/>
  <c r="E10" i="5" s="1"/>
  <c r="H19" i="1"/>
  <c r="D42" i="5" l="1"/>
  <c r="E42" s="1"/>
  <c r="D53"/>
  <c r="E53" s="1"/>
  <c r="D9"/>
  <c r="E9" s="1"/>
  <c r="D31"/>
  <c r="E31" s="1"/>
  <c r="D64"/>
  <c r="E64" s="1"/>
  <c r="D20"/>
  <c r="E20" s="1"/>
  <c r="H8" i="4"/>
  <c r="E5" i="5" s="1"/>
  <c r="H5" i="2"/>
  <c r="J6" s="1"/>
  <c r="H22" i="1"/>
  <c r="H24" s="1"/>
  <c r="D39" i="5" l="1"/>
  <c r="E39" s="1"/>
  <c r="D28"/>
  <c r="E28" s="1"/>
  <c r="D50"/>
  <c r="E50" s="1"/>
  <c r="D61"/>
  <c r="E61" s="1"/>
  <c r="D17"/>
  <c r="E17" s="1"/>
  <c r="D6"/>
  <c r="E6" s="1"/>
  <c r="E55" l="1"/>
  <c r="E10" i="10" s="1"/>
  <c r="E33" i="5"/>
  <c r="E8" i="10" s="1"/>
  <c r="E11" i="5"/>
  <c r="E6" i="10" s="1"/>
  <c r="E66" i="5"/>
  <c r="E11" i="10" s="1"/>
  <c r="E44" i="5"/>
  <c r="E9" i="10" s="1"/>
  <c r="E22" i="5"/>
  <c r="E7" i="10" s="1"/>
  <c r="F10" l="1"/>
  <c r="F9"/>
  <c r="F7"/>
  <c r="F8"/>
  <c r="F6"/>
  <c r="F11"/>
  <c r="H17" i="13" l="1"/>
  <c r="I14" i="10"/>
  <c r="B13" i="15" s="1"/>
  <c r="I13" i="10"/>
  <c r="B12" i="15" s="1"/>
  <c r="I12" i="10"/>
  <c r="B11" i="15" s="1"/>
  <c r="I10" i="10"/>
  <c r="B9" i="15" s="1"/>
  <c r="I7" i="10"/>
  <c r="B6" i="15" s="1"/>
  <c r="I8" i="10"/>
  <c r="B7" i="15" s="1"/>
  <c r="I6" i="10"/>
  <c r="B5" i="15" s="1"/>
  <c r="I11" i="10"/>
  <c r="B10" i="15" s="1"/>
  <c r="I9" i="10"/>
  <c r="B8" i="15" s="1"/>
  <c r="F16" i="10"/>
  <c r="I8" i="15" l="1"/>
  <c r="F25" s="1"/>
  <c r="K8"/>
  <c r="M8"/>
  <c r="J8"/>
  <c r="L8"/>
  <c r="M5"/>
  <c r="J5"/>
  <c r="L5"/>
  <c r="I5"/>
  <c r="F19" s="1"/>
  <c r="K5"/>
  <c r="J6"/>
  <c r="I6"/>
  <c r="F21" s="1"/>
  <c r="L6"/>
  <c r="K6"/>
  <c r="M6"/>
  <c r="M11"/>
  <c r="J11"/>
  <c r="L11"/>
  <c r="I11"/>
  <c r="F32" s="1"/>
  <c r="K11"/>
  <c r="K13"/>
  <c r="I13"/>
  <c r="F36" s="1"/>
  <c r="L13"/>
  <c r="J13"/>
  <c r="M13"/>
  <c r="J10"/>
  <c r="L10"/>
  <c r="I10"/>
  <c r="F29" s="1"/>
  <c r="K10"/>
  <c r="M10"/>
  <c r="M7"/>
  <c r="J7"/>
  <c r="L7"/>
  <c r="I7"/>
  <c r="F23" s="1"/>
  <c r="K7"/>
  <c r="M9"/>
  <c r="I9"/>
  <c r="F27" s="1"/>
  <c r="K9"/>
  <c r="J9"/>
  <c r="L9"/>
  <c r="I12"/>
  <c r="F34" s="1"/>
  <c r="K12"/>
  <c r="M12"/>
  <c r="J12"/>
  <c r="L12"/>
  <c r="J11" i="10"/>
  <c r="C10" i="12"/>
  <c r="F42" i="11"/>
  <c r="G42" s="1"/>
  <c r="J6" i="10"/>
  <c r="C5" i="12"/>
  <c r="F37" i="11"/>
  <c r="G37" s="1"/>
  <c r="J8" i="10"/>
  <c r="C7" i="12"/>
  <c r="F39" i="11"/>
  <c r="G39" s="1"/>
  <c r="J7" i="10"/>
  <c r="C6" i="12"/>
  <c r="F38" i="11"/>
  <c r="G38" s="1"/>
  <c r="J10" i="10"/>
  <c r="C9" i="12"/>
  <c r="F41" i="11"/>
  <c r="G41" s="1"/>
  <c r="J12" i="10"/>
  <c r="C11" i="12"/>
  <c r="F45" i="11"/>
  <c r="G45" s="1"/>
  <c r="J9" i="10"/>
  <c r="C8" i="12"/>
  <c r="F40" i="11"/>
  <c r="G40" s="1"/>
  <c r="J13" i="10"/>
  <c r="C12" i="12"/>
  <c r="F46" i="11"/>
  <c r="G46" s="1"/>
  <c r="J14" i="10"/>
  <c r="F47" i="11"/>
  <c r="G47" s="1"/>
  <c r="C13" i="12"/>
  <c r="F17" i="10"/>
  <c r="F18" s="1"/>
  <c r="E48" i="12" s="1"/>
  <c r="G34" i="15" l="1"/>
  <c r="H34" s="1"/>
  <c r="I34" s="1"/>
  <c r="J34" s="1"/>
  <c r="K34" s="1"/>
  <c r="L34" s="1"/>
  <c r="C63" s="1"/>
  <c r="D63" s="1"/>
  <c r="E63" s="1"/>
  <c r="F63" s="1"/>
  <c r="G63" s="1"/>
  <c r="H63" s="1"/>
  <c r="I63" s="1"/>
  <c r="J63" s="1"/>
  <c r="K63" s="1"/>
  <c r="L63" s="1"/>
  <c r="C92" s="1"/>
  <c r="D92" s="1"/>
  <c r="E92" s="1"/>
  <c r="F92" s="1"/>
  <c r="G92" s="1"/>
  <c r="H92" s="1"/>
  <c r="I92" s="1"/>
  <c r="J92" s="1"/>
  <c r="K92" s="1"/>
  <c r="L92" s="1"/>
  <c r="C121" s="1"/>
  <c r="D121" s="1"/>
  <c r="E121" s="1"/>
  <c r="F121" s="1"/>
  <c r="G121" s="1"/>
  <c r="H121" s="1"/>
  <c r="I121" s="1"/>
  <c r="J121" s="1"/>
  <c r="K121" s="1"/>
  <c r="L121" s="1"/>
  <c r="C150" s="1"/>
  <c r="D150" s="1"/>
  <c r="E150" s="1"/>
  <c r="F150" s="1"/>
  <c r="G150" s="1"/>
  <c r="H150" s="1"/>
  <c r="I150" s="1"/>
  <c r="J150" s="1"/>
  <c r="K150" s="1"/>
  <c r="L150" s="1"/>
  <c r="C179" s="1"/>
  <c r="D179" s="1"/>
  <c r="E179" s="1"/>
  <c r="F179" s="1"/>
  <c r="G179" s="1"/>
  <c r="H179" s="1"/>
  <c r="I179" s="1"/>
  <c r="J179" s="1"/>
  <c r="K179" s="1"/>
  <c r="L179" s="1"/>
  <c r="G27"/>
  <c r="H27" s="1"/>
  <c r="I27" s="1"/>
  <c r="J27" s="1"/>
  <c r="K27" s="1"/>
  <c r="L27" s="1"/>
  <c r="C56" s="1"/>
  <c r="D56" s="1"/>
  <c r="E56" s="1"/>
  <c r="F56" s="1"/>
  <c r="G56" s="1"/>
  <c r="H56" s="1"/>
  <c r="I56" s="1"/>
  <c r="J56" s="1"/>
  <c r="K56" s="1"/>
  <c r="L56" s="1"/>
  <c r="C85" s="1"/>
  <c r="D85" s="1"/>
  <c r="E85" s="1"/>
  <c r="F85" s="1"/>
  <c r="G85" s="1"/>
  <c r="H85" s="1"/>
  <c r="I85" s="1"/>
  <c r="J85" s="1"/>
  <c r="K85" s="1"/>
  <c r="L85" s="1"/>
  <c r="C114" s="1"/>
  <c r="D114" s="1"/>
  <c r="E114" s="1"/>
  <c r="F114" s="1"/>
  <c r="G114" s="1"/>
  <c r="H114" s="1"/>
  <c r="I114" s="1"/>
  <c r="J114" s="1"/>
  <c r="K114" s="1"/>
  <c r="L114" s="1"/>
  <c r="C143" s="1"/>
  <c r="D143" s="1"/>
  <c r="E143" s="1"/>
  <c r="F143" s="1"/>
  <c r="G143" s="1"/>
  <c r="H143" s="1"/>
  <c r="I143" s="1"/>
  <c r="J143" s="1"/>
  <c r="K143" s="1"/>
  <c r="L143" s="1"/>
  <c r="C172" s="1"/>
  <c r="D172" s="1"/>
  <c r="E172" s="1"/>
  <c r="F172" s="1"/>
  <c r="G172" s="1"/>
  <c r="H172" s="1"/>
  <c r="I172" s="1"/>
  <c r="J172" s="1"/>
  <c r="K172" s="1"/>
  <c r="L172" s="1"/>
  <c r="G32"/>
  <c r="F41"/>
  <c r="G19"/>
  <c r="F39"/>
  <c r="G25"/>
  <c r="H25" s="1"/>
  <c r="I25" s="1"/>
  <c r="J25" s="1"/>
  <c r="K25" s="1"/>
  <c r="L25" s="1"/>
  <c r="C54" s="1"/>
  <c r="D54" s="1"/>
  <c r="E54" s="1"/>
  <c r="F54" s="1"/>
  <c r="G54" s="1"/>
  <c r="H54" s="1"/>
  <c r="I54" s="1"/>
  <c r="J54" s="1"/>
  <c r="K54" s="1"/>
  <c r="L54" s="1"/>
  <c r="C83" s="1"/>
  <c r="D83" s="1"/>
  <c r="E83" s="1"/>
  <c r="F83" s="1"/>
  <c r="G83" s="1"/>
  <c r="H83" s="1"/>
  <c r="I83" s="1"/>
  <c r="J83" s="1"/>
  <c r="K83" s="1"/>
  <c r="L83" s="1"/>
  <c r="C112" s="1"/>
  <c r="D112" s="1"/>
  <c r="E112" s="1"/>
  <c r="F112" s="1"/>
  <c r="G112" s="1"/>
  <c r="H112" s="1"/>
  <c r="I112" s="1"/>
  <c r="J112" s="1"/>
  <c r="K112" s="1"/>
  <c r="L112" s="1"/>
  <c r="C141" s="1"/>
  <c r="D141" s="1"/>
  <c r="E141" s="1"/>
  <c r="F141" s="1"/>
  <c r="G141" s="1"/>
  <c r="H141" s="1"/>
  <c r="I141" s="1"/>
  <c r="J141" s="1"/>
  <c r="K141" s="1"/>
  <c r="L141" s="1"/>
  <c r="C170" s="1"/>
  <c r="D170" s="1"/>
  <c r="E170" s="1"/>
  <c r="F170" s="1"/>
  <c r="G170" s="1"/>
  <c r="H170" s="1"/>
  <c r="I170" s="1"/>
  <c r="J170" s="1"/>
  <c r="K170" s="1"/>
  <c r="L170" s="1"/>
  <c r="G23"/>
  <c r="H23" s="1"/>
  <c r="I23" s="1"/>
  <c r="J23" s="1"/>
  <c r="K23" s="1"/>
  <c r="L23" s="1"/>
  <c r="C52" s="1"/>
  <c r="D52" s="1"/>
  <c r="E52" s="1"/>
  <c r="F52" s="1"/>
  <c r="G52" s="1"/>
  <c r="H52" s="1"/>
  <c r="I52" s="1"/>
  <c r="J52" s="1"/>
  <c r="K52" s="1"/>
  <c r="L52" s="1"/>
  <c r="C81" s="1"/>
  <c r="D81" s="1"/>
  <c r="E81" s="1"/>
  <c r="F81" s="1"/>
  <c r="G81" s="1"/>
  <c r="H81" s="1"/>
  <c r="I81" s="1"/>
  <c r="J81" s="1"/>
  <c r="K81" s="1"/>
  <c r="L81" s="1"/>
  <c r="C110" s="1"/>
  <c r="D110" s="1"/>
  <c r="E110" s="1"/>
  <c r="F110" s="1"/>
  <c r="G110" s="1"/>
  <c r="H110" s="1"/>
  <c r="I110" s="1"/>
  <c r="J110" s="1"/>
  <c r="K110" s="1"/>
  <c r="L110" s="1"/>
  <c r="C139" s="1"/>
  <c r="D139" s="1"/>
  <c r="E139" s="1"/>
  <c r="F139" s="1"/>
  <c r="G139" s="1"/>
  <c r="H139" s="1"/>
  <c r="I139" s="1"/>
  <c r="J139" s="1"/>
  <c r="K139" s="1"/>
  <c r="L139" s="1"/>
  <c r="C168" s="1"/>
  <c r="D168" s="1"/>
  <c r="E168" s="1"/>
  <c r="F168" s="1"/>
  <c r="G168" s="1"/>
  <c r="H168" s="1"/>
  <c r="I168" s="1"/>
  <c r="J168" s="1"/>
  <c r="K168" s="1"/>
  <c r="L168" s="1"/>
  <c r="G29"/>
  <c r="H29" s="1"/>
  <c r="I29" s="1"/>
  <c r="J29" s="1"/>
  <c r="K29" s="1"/>
  <c r="L29" s="1"/>
  <c r="C58" s="1"/>
  <c r="D58" s="1"/>
  <c r="E58" s="1"/>
  <c r="F58" s="1"/>
  <c r="G58" s="1"/>
  <c r="H58" s="1"/>
  <c r="I58" s="1"/>
  <c r="J58" s="1"/>
  <c r="K58" s="1"/>
  <c r="L58" s="1"/>
  <c r="C87" s="1"/>
  <c r="D87" s="1"/>
  <c r="E87" s="1"/>
  <c r="F87" s="1"/>
  <c r="G87" s="1"/>
  <c r="H87" s="1"/>
  <c r="I87" s="1"/>
  <c r="J87" s="1"/>
  <c r="K87" s="1"/>
  <c r="L87" s="1"/>
  <c r="C116" s="1"/>
  <c r="D116" s="1"/>
  <c r="E116" s="1"/>
  <c r="F116" s="1"/>
  <c r="G116" s="1"/>
  <c r="H116" s="1"/>
  <c r="I116" s="1"/>
  <c r="J116" s="1"/>
  <c r="K116" s="1"/>
  <c r="L116" s="1"/>
  <c r="C145" s="1"/>
  <c r="D145" s="1"/>
  <c r="E145" s="1"/>
  <c r="F145" s="1"/>
  <c r="G145" s="1"/>
  <c r="H145" s="1"/>
  <c r="I145" s="1"/>
  <c r="J145" s="1"/>
  <c r="K145" s="1"/>
  <c r="L145" s="1"/>
  <c r="C174" s="1"/>
  <c r="D174" s="1"/>
  <c r="E174" s="1"/>
  <c r="F174" s="1"/>
  <c r="G174" s="1"/>
  <c r="H174" s="1"/>
  <c r="I174" s="1"/>
  <c r="J174" s="1"/>
  <c r="K174" s="1"/>
  <c r="L174" s="1"/>
  <c r="G36"/>
  <c r="H36" s="1"/>
  <c r="I36" s="1"/>
  <c r="J36" s="1"/>
  <c r="K36" s="1"/>
  <c r="L36" s="1"/>
  <c r="C65" s="1"/>
  <c r="D65" s="1"/>
  <c r="E65" s="1"/>
  <c r="F65" s="1"/>
  <c r="G65" s="1"/>
  <c r="H65" s="1"/>
  <c r="I65" s="1"/>
  <c r="J65" s="1"/>
  <c r="K65" s="1"/>
  <c r="L65" s="1"/>
  <c r="C94" s="1"/>
  <c r="D94" s="1"/>
  <c r="E94" s="1"/>
  <c r="F94" s="1"/>
  <c r="G94" s="1"/>
  <c r="H94" s="1"/>
  <c r="I94" s="1"/>
  <c r="J94" s="1"/>
  <c r="K94" s="1"/>
  <c r="L94" s="1"/>
  <c r="C123" s="1"/>
  <c r="D123" s="1"/>
  <c r="E123" s="1"/>
  <c r="F123" s="1"/>
  <c r="G123" s="1"/>
  <c r="H123" s="1"/>
  <c r="I123" s="1"/>
  <c r="J123" s="1"/>
  <c r="K123" s="1"/>
  <c r="L123" s="1"/>
  <c r="C152" s="1"/>
  <c r="D152" s="1"/>
  <c r="E152" s="1"/>
  <c r="F152" s="1"/>
  <c r="G152" s="1"/>
  <c r="H152" s="1"/>
  <c r="I152" s="1"/>
  <c r="J152" s="1"/>
  <c r="K152" s="1"/>
  <c r="L152" s="1"/>
  <c r="C181" s="1"/>
  <c r="D181" s="1"/>
  <c r="E181" s="1"/>
  <c r="F181" s="1"/>
  <c r="G181" s="1"/>
  <c r="H181" s="1"/>
  <c r="I181" s="1"/>
  <c r="J181" s="1"/>
  <c r="K181" s="1"/>
  <c r="L181" s="1"/>
  <c r="G21"/>
  <c r="H21" s="1"/>
  <c r="I21" s="1"/>
  <c r="J21" s="1"/>
  <c r="K21" s="1"/>
  <c r="L21" s="1"/>
  <c r="C50" s="1"/>
  <c r="D50" s="1"/>
  <c r="E50" s="1"/>
  <c r="F50" s="1"/>
  <c r="G50" s="1"/>
  <c r="H50" s="1"/>
  <c r="I50" s="1"/>
  <c r="J50" s="1"/>
  <c r="K50" s="1"/>
  <c r="L50" s="1"/>
  <c r="C79" s="1"/>
  <c r="D79" s="1"/>
  <c r="E79" s="1"/>
  <c r="F79" s="1"/>
  <c r="G79" s="1"/>
  <c r="H79" s="1"/>
  <c r="I79" s="1"/>
  <c r="J79" s="1"/>
  <c r="K79" s="1"/>
  <c r="L79" s="1"/>
  <c r="C108" s="1"/>
  <c r="D108" s="1"/>
  <c r="E108" s="1"/>
  <c r="F108" s="1"/>
  <c r="G108" s="1"/>
  <c r="H108" s="1"/>
  <c r="I108" s="1"/>
  <c r="J108" s="1"/>
  <c r="K108" s="1"/>
  <c r="L108" s="1"/>
  <c r="C137" s="1"/>
  <c r="D137" s="1"/>
  <c r="E137" s="1"/>
  <c r="F137" s="1"/>
  <c r="G137" s="1"/>
  <c r="H137" s="1"/>
  <c r="I137" s="1"/>
  <c r="J137" s="1"/>
  <c r="K137" s="1"/>
  <c r="L137" s="1"/>
  <c r="C166" s="1"/>
  <c r="D166" s="1"/>
  <c r="E166" s="1"/>
  <c r="F166" s="1"/>
  <c r="G166" s="1"/>
  <c r="H166" s="1"/>
  <c r="I166" s="1"/>
  <c r="J166" s="1"/>
  <c r="K166" s="1"/>
  <c r="L166" s="1"/>
  <c r="L12" i="12"/>
  <c r="M12"/>
  <c r="N12"/>
  <c r="J12"/>
  <c r="G34" s="1"/>
  <c r="K12"/>
  <c r="G48" i="11"/>
  <c r="G50" s="1"/>
  <c r="K5" i="12"/>
  <c r="M5"/>
  <c r="J5"/>
  <c r="G19" s="1"/>
  <c r="N5"/>
  <c r="L5"/>
  <c r="J16" i="10"/>
  <c r="N7" i="12"/>
  <c r="L7"/>
  <c r="J7"/>
  <c r="G23" s="1"/>
  <c r="K7"/>
  <c r="M7"/>
  <c r="M13"/>
  <c r="N13"/>
  <c r="K13"/>
  <c r="L13"/>
  <c r="J13"/>
  <c r="G36" s="1"/>
  <c r="J9"/>
  <c r="G27" s="1"/>
  <c r="M9"/>
  <c r="L9"/>
  <c r="K9"/>
  <c r="N9"/>
  <c r="K10"/>
  <c r="L10"/>
  <c r="N10"/>
  <c r="J10"/>
  <c r="G29" s="1"/>
  <c r="M10"/>
  <c r="N6"/>
  <c r="L6"/>
  <c r="J6"/>
  <c r="G21" s="1"/>
  <c r="K6"/>
  <c r="M6"/>
  <c r="M8"/>
  <c r="N8"/>
  <c r="L8"/>
  <c r="K8"/>
  <c r="J8"/>
  <c r="G25" s="1"/>
  <c r="L11"/>
  <c r="K11"/>
  <c r="M11"/>
  <c r="J11"/>
  <c r="G32" s="1"/>
  <c r="N11"/>
  <c r="H21" l="1"/>
  <c r="I21" s="1"/>
  <c r="H29"/>
  <c r="I29" s="1"/>
  <c r="J29" s="1"/>
  <c r="K29" s="1"/>
  <c r="L29" s="1"/>
  <c r="M29" s="1"/>
  <c r="N29" s="1"/>
  <c r="O29" s="1"/>
  <c r="P29" s="1"/>
  <c r="Q29" s="1"/>
  <c r="R29" s="1"/>
  <c r="S29" s="1"/>
  <c r="T29" s="1"/>
  <c r="U29" s="1"/>
  <c r="V29" s="1"/>
  <c r="W29" s="1"/>
  <c r="X29" s="1"/>
  <c r="Y29" s="1"/>
  <c r="Z29" s="1"/>
  <c r="AA29" s="1"/>
  <c r="AB29" s="1"/>
  <c r="AC29" s="1"/>
  <c r="AD29" s="1"/>
  <c r="AE29" s="1"/>
  <c r="AF29" s="1"/>
  <c r="AG29" s="1"/>
  <c r="AH29" s="1"/>
  <c r="AI29" s="1"/>
  <c r="AJ29" s="1"/>
  <c r="AK29" s="1"/>
  <c r="AL29" s="1"/>
  <c r="AM29" s="1"/>
  <c r="AN29" s="1"/>
  <c r="AO29" s="1"/>
  <c r="AP29" s="1"/>
  <c r="AQ29" s="1"/>
  <c r="AR29" s="1"/>
  <c r="AS29" s="1"/>
  <c r="AT29" s="1"/>
  <c r="AU29" s="1"/>
  <c r="AV29" s="1"/>
  <c r="AW29" s="1"/>
  <c r="AX29" s="1"/>
  <c r="AY29" s="1"/>
  <c r="AZ29" s="1"/>
  <c r="BA29" s="1"/>
  <c r="BB29" s="1"/>
  <c r="BC29" s="1"/>
  <c r="BD29" s="1"/>
  <c r="BE29" s="1"/>
  <c r="BF29" s="1"/>
  <c r="BG29" s="1"/>
  <c r="BH29" s="1"/>
  <c r="BI29" s="1"/>
  <c r="BJ29" s="1"/>
  <c r="BK29" s="1"/>
  <c r="H27"/>
  <c r="H23"/>
  <c r="I23" s="1"/>
  <c r="F43" i="15"/>
  <c r="H32"/>
  <c r="G41"/>
  <c r="H19"/>
  <c r="G39"/>
  <c r="G43" s="1"/>
  <c r="J21" i="12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AD21" s="1"/>
  <c r="AE21" s="1"/>
  <c r="AF21" s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BB21" s="1"/>
  <c r="BC21" s="1"/>
  <c r="BD21" s="1"/>
  <c r="BE21" s="1"/>
  <c r="BF21" s="1"/>
  <c r="BG21" s="1"/>
  <c r="BH21" s="1"/>
  <c r="BI21" s="1"/>
  <c r="BJ21" s="1"/>
  <c r="BK21" s="1"/>
  <c r="I27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27" s="1"/>
  <c r="AL27" s="1"/>
  <c r="AM27" s="1"/>
  <c r="AN27" s="1"/>
  <c r="AO27" s="1"/>
  <c r="AP27" s="1"/>
  <c r="AQ27" s="1"/>
  <c r="AR27" s="1"/>
  <c r="AS27" s="1"/>
  <c r="AT27" s="1"/>
  <c r="AU27" s="1"/>
  <c r="AV27" s="1"/>
  <c r="AW27" s="1"/>
  <c r="AX27" s="1"/>
  <c r="AY27" s="1"/>
  <c r="AZ27" s="1"/>
  <c r="BA27" s="1"/>
  <c r="BB27" s="1"/>
  <c r="BC27" s="1"/>
  <c r="BD27" s="1"/>
  <c r="BE27" s="1"/>
  <c r="BF27" s="1"/>
  <c r="BG27" s="1"/>
  <c r="BH27" s="1"/>
  <c r="BI27" s="1"/>
  <c r="BJ27" s="1"/>
  <c r="BK27" s="1"/>
  <c r="H25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BB25" s="1"/>
  <c r="BC25" s="1"/>
  <c r="BD25" s="1"/>
  <c r="BE25" s="1"/>
  <c r="BF25" s="1"/>
  <c r="BG25" s="1"/>
  <c r="BH25" s="1"/>
  <c r="BI25" s="1"/>
  <c r="BJ25" s="1"/>
  <c r="BK25" s="1"/>
  <c r="B21" i="15"/>
  <c r="B36"/>
  <c r="B29"/>
  <c r="B23"/>
  <c r="B25"/>
  <c r="B27"/>
  <c r="B34"/>
  <c r="H19" i="12"/>
  <c r="G39"/>
  <c r="H36"/>
  <c r="I36" s="1"/>
  <c r="J36" s="1"/>
  <c r="K36" s="1"/>
  <c r="L36" s="1"/>
  <c r="M36" s="1"/>
  <c r="N36" s="1"/>
  <c r="O36" s="1"/>
  <c r="P36" s="1"/>
  <c r="Q36" s="1"/>
  <c r="R36" s="1"/>
  <c r="S36" s="1"/>
  <c r="T36" s="1"/>
  <c r="U36" s="1"/>
  <c r="V36" s="1"/>
  <c r="W36" s="1"/>
  <c r="X36" s="1"/>
  <c r="Y36" s="1"/>
  <c r="Z36" s="1"/>
  <c r="AA36" s="1"/>
  <c r="AB36" s="1"/>
  <c r="AC36" s="1"/>
  <c r="AD36" s="1"/>
  <c r="AE36" s="1"/>
  <c r="AF36" s="1"/>
  <c r="AG36" s="1"/>
  <c r="AH36" s="1"/>
  <c r="AI36" s="1"/>
  <c r="AJ36" s="1"/>
  <c r="AK36" s="1"/>
  <c r="AL36" s="1"/>
  <c r="AM36" s="1"/>
  <c r="AN36" s="1"/>
  <c r="AO36" s="1"/>
  <c r="AP36" s="1"/>
  <c r="AQ36" s="1"/>
  <c r="AR36" s="1"/>
  <c r="AS36" s="1"/>
  <c r="AT36" s="1"/>
  <c r="AU36" s="1"/>
  <c r="AV36" s="1"/>
  <c r="AW36" s="1"/>
  <c r="AX36" s="1"/>
  <c r="AY36" s="1"/>
  <c r="AZ36" s="1"/>
  <c r="BA36" s="1"/>
  <c r="BB36" s="1"/>
  <c r="BC36" s="1"/>
  <c r="BD36" s="1"/>
  <c r="BE36" s="1"/>
  <c r="BF36" s="1"/>
  <c r="BG36" s="1"/>
  <c r="BH36" s="1"/>
  <c r="BI36" s="1"/>
  <c r="BJ36" s="1"/>
  <c r="BK36" s="1"/>
  <c r="H34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AH34" s="1"/>
  <c r="AI34" s="1"/>
  <c r="AJ34" s="1"/>
  <c r="AK34" s="1"/>
  <c r="AL34" s="1"/>
  <c r="AM34" s="1"/>
  <c r="AN34" s="1"/>
  <c r="AO34" s="1"/>
  <c r="AP34" s="1"/>
  <c r="AQ34" s="1"/>
  <c r="AR34" s="1"/>
  <c r="AS34" s="1"/>
  <c r="AT34" s="1"/>
  <c r="AU34" s="1"/>
  <c r="AV34" s="1"/>
  <c r="AW34" s="1"/>
  <c r="AX34" s="1"/>
  <c r="AY34" s="1"/>
  <c r="AZ34" s="1"/>
  <c r="BA34" s="1"/>
  <c r="BB34" s="1"/>
  <c r="BC34" s="1"/>
  <c r="BD34" s="1"/>
  <c r="BE34" s="1"/>
  <c r="BF34" s="1"/>
  <c r="BG34" s="1"/>
  <c r="BH34" s="1"/>
  <c r="BI34" s="1"/>
  <c r="BJ34" s="1"/>
  <c r="BK34" s="1"/>
  <c r="J23"/>
  <c r="G41"/>
  <c r="H32"/>
  <c r="C29"/>
  <c r="C27"/>
  <c r="C25" l="1"/>
  <c r="C21"/>
  <c r="H39" i="15"/>
  <c r="I19"/>
  <c r="H41"/>
  <c r="I32"/>
  <c r="K23" i="12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H41"/>
  <c r="I32"/>
  <c r="C34"/>
  <c r="C36"/>
  <c r="G43"/>
  <c r="I64" i="11" s="1"/>
  <c r="I66" s="1"/>
  <c r="I19" i="12"/>
  <c r="H39"/>
  <c r="H43" s="1"/>
  <c r="J64" i="11" s="1"/>
  <c r="J66" s="1"/>
  <c r="H43" i="15" l="1"/>
  <c r="I41"/>
  <c r="J32"/>
  <c r="J19"/>
  <c r="I39"/>
  <c r="J19" i="12"/>
  <c r="I39"/>
  <c r="I41"/>
  <c r="J32"/>
  <c r="C23"/>
  <c r="J39" i="15" l="1"/>
  <c r="K19"/>
  <c r="I43" i="12"/>
  <c r="K64" i="11" s="1"/>
  <c r="K66" s="1"/>
  <c r="I43" i="15"/>
  <c r="K32"/>
  <c r="J41"/>
  <c r="K32" i="12"/>
  <c r="J41"/>
  <c r="K19"/>
  <c r="J39"/>
  <c r="J43" s="1"/>
  <c r="L64" i="11" s="1"/>
  <c r="L66" s="1"/>
  <c r="L32" i="15" l="1"/>
  <c r="K41"/>
  <c r="B32"/>
  <c r="J43"/>
  <c r="K39"/>
  <c r="L19"/>
  <c r="K39" i="12"/>
  <c r="L19"/>
  <c r="K41"/>
  <c r="L32"/>
  <c r="K43" i="15" l="1"/>
  <c r="L41"/>
  <c r="C61"/>
  <c r="L39"/>
  <c r="L43" s="1"/>
  <c r="C48"/>
  <c r="B19"/>
  <c r="L41" i="12"/>
  <c r="M32"/>
  <c r="L39"/>
  <c r="L43" s="1"/>
  <c r="M19"/>
  <c r="K43"/>
  <c r="C68" i="15" l="1"/>
  <c r="D48"/>
  <c r="C70"/>
  <c r="D61"/>
  <c r="B39"/>
  <c r="N19" i="12"/>
  <c r="M39"/>
  <c r="N32"/>
  <c r="M41"/>
  <c r="C72" i="15" l="1"/>
  <c r="E61"/>
  <c r="D70"/>
  <c r="D68"/>
  <c r="E48"/>
  <c r="N41" i="12"/>
  <c r="O32"/>
  <c r="M43"/>
  <c r="N39"/>
  <c r="O19"/>
  <c r="N43" l="1"/>
  <c r="E70" i="15"/>
  <c r="F61"/>
  <c r="D72"/>
  <c r="F48"/>
  <c r="E68"/>
  <c r="E72" s="1"/>
  <c r="P19" i="12"/>
  <c r="O39"/>
  <c r="P32"/>
  <c r="O41"/>
  <c r="G48" i="15" l="1"/>
  <c r="F68"/>
  <c r="G61"/>
  <c r="F70"/>
  <c r="Q32" i="12"/>
  <c r="P41"/>
  <c r="O43"/>
  <c r="Q19"/>
  <c r="P39"/>
  <c r="H61" i="15" l="1"/>
  <c r="G70"/>
  <c r="H48"/>
  <c r="G68"/>
  <c r="G72" s="1"/>
  <c r="P43" i="12"/>
  <c r="F72" i="15"/>
  <c r="R19" i="12"/>
  <c r="Q39"/>
  <c r="Q41"/>
  <c r="R32"/>
  <c r="I48" i="15" l="1"/>
  <c r="H68"/>
  <c r="I61"/>
  <c r="H70"/>
  <c r="S32" i="12"/>
  <c r="R41"/>
  <c r="Q43"/>
  <c r="S19"/>
  <c r="R39"/>
  <c r="J61" i="15" l="1"/>
  <c r="I70"/>
  <c r="J48"/>
  <c r="I68"/>
  <c r="I72" s="1"/>
  <c r="R43" i="12"/>
  <c r="H72" i="15"/>
  <c r="T19" i="12"/>
  <c r="S39"/>
  <c r="S41"/>
  <c r="T32"/>
  <c r="J68" i="15" l="1"/>
  <c r="K48"/>
  <c r="K61"/>
  <c r="J70"/>
  <c r="U32" i="12"/>
  <c r="T41"/>
  <c r="S43"/>
  <c r="T39"/>
  <c r="T43" s="1"/>
  <c r="U19"/>
  <c r="L61" i="15" l="1"/>
  <c r="K70"/>
  <c r="J72"/>
  <c r="L48"/>
  <c r="K68"/>
  <c r="U39" i="12"/>
  <c r="V19"/>
  <c r="V32"/>
  <c r="U41"/>
  <c r="K72" i="15" l="1"/>
  <c r="C90"/>
  <c r="L70"/>
  <c r="C77"/>
  <c r="L68"/>
  <c r="L72" s="1"/>
  <c r="V39" i="12"/>
  <c r="W19"/>
  <c r="V41"/>
  <c r="W32"/>
  <c r="U43"/>
  <c r="D77" i="15" l="1"/>
  <c r="C97"/>
  <c r="D90"/>
  <c r="C99"/>
  <c r="X32" i="12"/>
  <c r="W41"/>
  <c r="W39"/>
  <c r="X19"/>
  <c r="V43"/>
  <c r="D99" i="15" l="1"/>
  <c r="E90"/>
  <c r="D97"/>
  <c r="D101" s="1"/>
  <c r="E77"/>
  <c r="W43" i="12"/>
  <c r="C101" i="15"/>
  <c r="X39" i="12"/>
  <c r="Y19"/>
  <c r="Y32"/>
  <c r="X41"/>
  <c r="F77" i="15" l="1"/>
  <c r="E97"/>
  <c r="E99"/>
  <c r="F90"/>
  <c r="X43" i="12"/>
  <c r="Z32"/>
  <c r="Y41"/>
  <c r="Y39"/>
  <c r="Y43" s="1"/>
  <c r="Z19"/>
  <c r="E101" i="15" l="1"/>
  <c r="F99"/>
  <c r="G90"/>
  <c r="F97"/>
  <c r="F101" s="1"/>
  <c r="G77"/>
  <c r="Z39" i="12"/>
  <c r="AA19"/>
  <c r="Z41"/>
  <c r="AA32"/>
  <c r="H77" i="15" l="1"/>
  <c r="G97"/>
  <c r="G99"/>
  <c r="H90"/>
  <c r="AB32" i="12"/>
  <c r="AA41"/>
  <c r="AA39"/>
  <c r="AB19"/>
  <c r="Z43"/>
  <c r="G101" i="15" l="1"/>
  <c r="I90"/>
  <c r="H99"/>
  <c r="I77"/>
  <c r="H97"/>
  <c r="H101" s="1"/>
  <c r="AA43" i="12"/>
  <c r="AB39"/>
  <c r="AC19"/>
  <c r="AB41"/>
  <c r="AC32"/>
  <c r="I97" i="15" l="1"/>
  <c r="J77"/>
  <c r="J90"/>
  <c r="I99"/>
  <c r="AC39" i="12"/>
  <c r="AD19"/>
  <c r="AC41"/>
  <c r="AD32"/>
  <c r="AB43"/>
  <c r="K77" i="15" l="1"/>
  <c r="J97"/>
  <c r="K90"/>
  <c r="J99"/>
  <c r="I101"/>
  <c r="AD39" i="12"/>
  <c r="AE19"/>
  <c r="AE32"/>
  <c r="AD41"/>
  <c r="AC43"/>
  <c r="K99" i="15" l="1"/>
  <c r="L90"/>
  <c r="K97"/>
  <c r="K101" s="1"/>
  <c r="L77"/>
  <c r="J101"/>
  <c r="AE39" i="12"/>
  <c r="AF19"/>
  <c r="AE41"/>
  <c r="AF32"/>
  <c r="AD43"/>
  <c r="C106" i="15" l="1"/>
  <c r="L97"/>
  <c r="C119"/>
  <c r="L99"/>
  <c r="AG19" i="12"/>
  <c r="AF39"/>
  <c r="AG32"/>
  <c r="AF41"/>
  <c r="AE43"/>
  <c r="D119" i="15" l="1"/>
  <c r="C128"/>
  <c r="C126"/>
  <c r="D106"/>
  <c r="L101"/>
  <c r="AF43" i="12"/>
  <c r="AH32"/>
  <c r="AG41"/>
  <c r="AG39"/>
  <c r="AH19"/>
  <c r="D126" i="15" l="1"/>
  <c r="E106"/>
  <c r="E119"/>
  <c r="D128"/>
  <c r="AG43" i="12"/>
  <c r="C130" i="15"/>
  <c r="AI19" i="12"/>
  <c r="AH39"/>
  <c r="AH41"/>
  <c r="AI32"/>
  <c r="F106" i="15" l="1"/>
  <c r="E126"/>
  <c r="E128"/>
  <c r="F119"/>
  <c r="D130"/>
  <c r="AJ32" i="12"/>
  <c r="AI41"/>
  <c r="AH43"/>
  <c r="AI39"/>
  <c r="AI43" s="1"/>
  <c r="AJ19"/>
  <c r="E130" i="15" l="1"/>
  <c r="G119"/>
  <c r="F128"/>
  <c r="G106"/>
  <c r="F126"/>
  <c r="F130" s="1"/>
  <c r="AK19" i="12"/>
  <c r="AJ39"/>
  <c r="AK32"/>
  <c r="AJ41"/>
  <c r="H106" i="15" l="1"/>
  <c r="G126"/>
  <c r="G128"/>
  <c r="H119"/>
  <c r="AL32" i="12"/>
  <c r="AK41"/>
  <c r="AJ43"/>
  <c r="AL19"/>
  <c r="AK39"/>
  <c r="G130" i="15" l="1"/>
  <c r="H128"/>
  <c r="I119"/>
  <c r="H126"/>
  <c r="H130" s="1"/>
  <c r="I106"/>
  <c r="AK43" i="12"/>
  <c r="AL39"/>
  <c r="AM19"/>
  <c r="AL41"/>
  <c r="AM32"/>
  <c r="I126" i="15" l="1"/>
  <c r="J106"/>
  <c r="I128"/>
  <c r="J119"/>
  <c r="AN32" i="12"/>
  <c r="AM41"/>
  <c r="AM39"/>
  <c r="AN19"/>
  <c r="AL43"/>
  <c r="K119" i="15" l="1"/>
  <c r="J128"/>
  <c r="J126"/>
  <c r="K106"/>
  <c r="AM43" i="12"/>
  <c r="I130" i="15"/>
  <c r="AN39" i="12"/>
  <c r="AO19"/>
  <c r="AO32"/>
  <c r="AN41"/>
  <c r="K126" i="15" l="1"/>
  <c r="L106"/>
  <c r="L119"/>
  <c r="K128"/>
  <c r="J130"/>
  <c r="AO39" i="12"/>
  <c r="AP19"/>
  <c r="AP32"/>
  <c r="AO41"/>
  <c r="AN43"/>
  <c r="C135" i="15" l="1"/>
  <c r="L126"/>
  <c r="C148"/>
  <c r="L128"/>
  <c r="K130"/>
  <c r="AQ19" i="12"/>
  <c r="AP39"/>
  <c r="AQ32"/>
  <c r="AP41"/>
  <c r="AO43"/>
  <c r="C157" i="15" l="1"/>
  <c r="D148"/>
  <c r="C155"/>
  <c r="C159" s="1"/>
  <c r="D135"/>
  <c r="L130"/>
  <c r="AR32" i="12"/>
  <c r="AQ41"/>
  <c r="AP43"/>
  <c r="AR19"/>
  <c r="AQ39"/>
  <c r="AQ43" l="1"/>
  <c r="E135" i="15"/>
  <c r="D155"/>
  <c r="E148"/>
  <c r="D157"/>
  <c r="AR39" i="12"/>
  <c r="AS19"/>
  <c r="AR41"/>
  <c r="AS32"/>
  <c r="F148" i="15" l="1"/>
  <c r="E157"/>
  <c r="E155"/>
  <c r="F135"/>
  <c r="D159"/>
  <c r="AT32" i="12"/>
  <c r="AS41"/>
  <c r="AT19"/>
  <c r="AS39"/>
  <c r="AS43" s="1"/>
  <c r="AR43"/>
  <c r="G135" i="15" l="1"/>
  <c r="F155"/>
  <c r="F157"/>
  <c r="G148"/>
  <c r="E159"/>
  <c r="AT39" i="12"/>
  <c r="AU19"/>
  <c r="AU32"/>
  <c r="AT41"/>
  <c r="F159" i="15" l="1"/>
  <c r="G157"/>
  <c r="H148"/>
  <c r="H135"/>
  <c r="G155"/>
  <c r="G159" s="1"/>
  <c r="AU39" i="12"/>
  <c r="AV19"/>
  <c r="AU41"/>
  <c r="AV32"/>
  <c r="AT43"/>
  <c r="I148" i="15" l="1"/>
  <c r="H157"/>
  <c r="I135"/>
  <c r="H155"/>
  <c r="H159" s="1"/>
  <c r="AV39" i="12"/>
  <c r="AW19"/>
  <c r="AV41"/>
  <c r="AW32"/>
  <c r="AU43"/>
  <c r="I155" i="15" l="1"/>
  <c r="J135"/>
  <c r="I157"/>
  <c r="J148"/>
  <c r="AW39" i="12"/>
  <c r="AX19"/>
  <c r="AW41"/>
  <c r="AX32"/>
  <c r="AV43"/>
  <c r="K148" i="15" l="1"/>
  <c r="J157"/>
  <c r="K135"/>
  <c r="J155"/>
  <c r="J159" s="1"/>
  <c r="I159"/>
  <c r="AY32" i="12"/>
  <c r="AX41"/>
  <c r="AY19"/>
  <c r="AX39"/>
  <c r="AX43" s="1"/>
  <c r="AW43"/>
  <c r="L135" i="15" l="1"/>
  <c r="K155"/>
  <c r="K157"/>
  <c r="L148"/>
  <c r="AZ19" i="12"/>
  <c r="AY39"/>
  <c r="AZ32"/>
  <c r="AY41"/>
  <c r="K159" i="15" l="1"/>
  <c r="C177"/>
  <c r="L157"/>
  <c r="L155"/>
  <c r="C164"/>
  <c r="AY43" i="12"/>
  <c r="AZ41"/>
  <c r="BA32"/>
  <c r="BA19"/>
  <c r="AZ39"/>
  <c r="D177" i="15" l="1"/>
  <c r="C186"/>
  <c r="AZ43" i="12"/>
  <c r="L159" i="15"/>
  <c r="C184"/>
  <c r="D164"/>
  <c r="BA41" i="12"/>
  <c r="BB32"/>
  <c r="BB19"/>
  <c r="BA39"/>
  <c r="C188" i="15" l="1"/>
  <c r="D186"/>
  <c r="E177"/>
  <c r="D184"/>
  <c r="D188" s="1"/>
  <c r="E164"/>
  <c r="BA43" i="12"/>
  <c r="BB41"/>
  <c r="BC32"/>
  <c r="BB39"/>
  <c r="BB43" s="1"/>
  <c r="BC19"/>
  <c r="F164" i="15" l="1"/>
  <c r="E184"/>
  <c r="E186"/>
  <c r="F177"/>
  <c r="BD19" i="12"/>
  <c r="BC39"/>
  <c r="BD32"/>
  <c r="BC41"/>
  <c r="E188" i="15" l="1"/>
  <c r="G164"/>
  <c r="F184"/>
  <c r="G177"/>
  <c r="F186"/>
  <c r="BC43" i="12"/>
  <c r="BD41"/>
  <c r="BE32"/>
  <c r="BE19"/>
  <c r="BD39"/>
  <c r="H177" i="15" l="1"/>
  <c r="G186"/>
  <c r="G184"/>
  <c r="H164"/>
  <c r="BD43" i="12"/>
  <c r="F188" i="15"/>
  <c r="BE41" i="12"/>
  <c r="BF32"/>
  <c r="BE39"/>
  <c r="BE43" s="1"/>
  <c r="BF19"/>
  <c r="I177" i="15" l="1"/>
  <c r="H186"/>
  <c r="G188"/>
  <c r="H184"/>
  <c r="H188" s="1"/>
  <c r="I164"/>
  <c r="BG19" i="12"/>
  <c r="BF39"/>
  <c r="BG32"/>
  <c r="BF41"/>
  <c r="I184" i="15" l="1"/>
  <c r="J164"/>
  <c r="I186"/>
  <c r="J177"/>
  <c r="BG41" i="12"/>
  <c r="BH32"/>
  <c r="BF43"/>
  <c r="BG39"/>
  <c r="BH19"/>
  <c r="I188" i="15" l="1"/>
  <c r="K177"/>
  <c r="J186"/>
  <c r="K164"/>
  <c r="J184"/>
  <c r="J188" s="1"/>
  <c r="BG43" i="12"/>
  <c r="BH39"/>
  <c r="BI19"/>
  <c r="BI32"/>
  <c r="BH41"/>
  <c r="L164" i="15" l="1"/>
  <c r="L184" s="1"/>
  <c r="K184"/>
  <c r="L177"/>
  <c r="L186" s="1"/>
  <c r="B41" s="1"/>
  <c r="B43" s="1"/>
  <c r="K186"/>
  <c r="BJ19" i="12"/>
  <c r="BI39"/>
  <c r="BJ32"/>
  <c r="BI41"/>
  <c r="BH43"/>
  <c r="L188" i="15" l="1"/>
  <c r="K188"/>
  <c r="BK32" i="12"/>
  <c r="BJ41"/>
  <c r="BI43"/>
  <c r="BK19"/>
  <c r="BK39" s="1"/>
  <c r="BJ39"/>
  <c r="BJ43" l="1"/>
  <c r="C19"/>
  <c r="C39"/>
  <c r="BK41"/>
  <c r="C41" s="1"/>
  <c r="C32"/>
  <c r="C43" l="1"/>
  <c r="BK43"/>
  <c r="G51" i="11" l="1"/>
  <c r="G54" s="1"/>
  <c r="C49" i="12"/>
  <c r="M64" i="11"/>
  <c r="M66" s="1"/>
  <c r="D69" s="1"/>
  <c r="C48" i="12"/>
  <c r="K39" i="11"/>
  <c r="E49" i="12" l="1"/>
  <c r="C53"/>
  <c r="D71" i="11"/>
  <c r="D70"/>
  <c r="L54"/>
  <c r="K41"/>
  <c r="K43" s="1"/>
  <c r="K44" s="1"/>
  <c r="K54"/>
</calcChain>
</file>

<file path=xl/sharedStrings.xml><?xml version="1.0" encoding="utf-8"?>
<sst xmlns="http://schemas.openxmlformats.org/spreadsheetml/2006/main" count="1594" uniqueCount="618">
  <si>
    <t>EMOP</t>
  </si>
  <si>
    <t>01983-E</t>
  </si>
  <si>
    <t>ELETRICISTA COM ENCARGOS SOCIAIS</t>
  </si>
  <si>
    <t>CLT/LEGISLAÇÃO</t>
  </si>
  <si>
    <t>Art. 193</t>
  </si>
  <si>
    <t>01919-E</t>
  </si>
  <si>
    <t>AJUDANTE MONTADOR ELETROMECANICO COM ENCARGOS SOCIAIS (AUXILIAR ELETRICISTA)</t>
  </si>
  <si>
    <t>Adicional de Periculosidade Lei 7369/1985 e Lei 12740/2012 (30%), Art. 193 CLT.</t>
  </si>
  <si>
    <t>01917-E</t>
  </si>
  <si>
    <t>MOTORISTA OPERADOR DE MUNCK COM ENCARGOS SOCIAIS</t>
  </si>
  <si>
    <t>01904-E</t>
  </si>
  <si>
    <t>ENCARREGADO DE TURMA DE SERVIÇOS DE ILUMINAÇÃO PÚBLICA</t>
  </si>
  <si>
    <t>SCO/RJ</t>
  </si>
  <si>
    <t>EVE000050</t>
  </si>
  <si>
    <t>3% incidente sobre mao de obra direta com Encargos Sociais para cobrir despesas relativa a equipamentos de protecao individual, uniformes e ferramentas</t>
  </si>
  <si>
    <t>REFERÊNCIA</t>
  </si>
  <si>
    <t>CÓDIGO</t>
  </si>
  <si>
    <t>UNIDADE</t>
  </si>
  <si>
    <t xml:space="preserve">DESCRIÇÃO </t>
  </si>
  <si>
    <t>QUANTIDADE</t>
  </si>
  <si>
    <t xml:space="preserve">COEFICIENTE </t>
  </si>
  <si>
    <t>VALOR TOTAL</t>
  </si>
  <si>
    <t>H</t>
  </si>
  <si>
    <t>%</t>
  </si>
  <si>
    <t>VALOR UNIT.</t>
  </si>
  <si>
    <t>001</t>
  </si>
  <si>
    <t>CPOS</t>
  </si>
  <si>
    <t>04.17.040</t>
  </si>
  <si>
    <t>Remoção de Equipamentos de Iluminação ou Projetor fixo em Poste ou Braço</t>
  </si>
  <si>
    <t>UN</t>
  </si>
  <si>
    <t>SERVIÇO/MÃO DE OBRA OPERACIONAL PARA SUBSTITUIÇÃO DE LUMINÁRIA</t>
  </si>
  <si>
    <t>VALOR TOTAL S/BDI</t>
  </si>
  <si>
    <t>002</t>
  </si>
  <si>
    <t>SERVIÇO/MÃO DE OBRA OPERACIONAL PARA SUBSTITUIÇÃO DE BRAÇOS</t>
  </si>
  <si>
    <t>MEMÓRIA DE CÁLCULO DA COMPOSIÇÃO</t>
  </si>
  <si>
    <r>
      <t xml:space="preserve">Compreende esta atividade a retirada de luminária convencional, e instalação de luminária LED. A mão de obra considerada nesta atividade é composta de: 1 Eletricista, 1 Auxiliar de Eletricista, e 1 Motorista Operador de Equipamento, sob a supervisão de 1 Encarregado de Obra.
O Coeficiente da Unidade, quando em H (horas) é a relação do tempo para a realização da atividade, </t>
    </r>
    <r>
      <rPr>
        <b/>
        <sz val="10"/>
        <color theme="1"/>
        <rFont val="Calibri"/>
        <family val="2"/>
        <scheme val="minor"/>
      </rPr>
      <t xml:space="preserve">para atividade de substituição de Luminária é considerado 15 minutos de 1 hora; 15/60 = 0,2500. </t>
    </r>
    <r>
      <rPr>
        <sz val="10"/>
        <color theme="1"/>
        <rFont val="Calibri"/>
        <family val="2"/>
        <scheme val="minor"/>
      </rPr>
      <t>Incide sobre a mão de obra de Eletricista e Auxiliar de Eletricista adicional de Periculosidade conforme legislação, incide ainda sob todo o valor de mão de obra 3% para cobrir despesas relativas a EPI, EPC e ferramentas. O valor total é arredondado com duas casas decimais. Remunera-se na composição a atividade. O Valor Global da Compisição do Serviço é sem BDI, baseado em tabelas de referências oficiais de Órgãos Públicos. O Valor se refere a um ponto de IP executado.</t>
    </r>
  </si>
  <si>
    <r>
      <t xml:space="preserve">Compreende esta atividade a Substituição de Braços/Suportes de Sustentação das Luminárias. A mão de obra considerada nesta atividade é composta de: 1 Eletricista, 1 Auxiliar de Eletricista, e 1 Motorista Operador de Equipamento, sob a supervisão de 1 Encarregado de Obra.
O Coeficiente da Unidade, quando em H (horas) é a relação do tempo para a realização da atividade, </t>
    </r>
    <r>
      <rPr>
        <b/>
        <sz val="10"/>
        <color theme="1"/>
        <rFont val="Calibri"/>
        <family val="2"/>
        <scheme val="minor"/>
      </rPr>
      <t xml:space="preserve">para atividade de substituição de Luminária é considerado 20 minutos de 1 hora; 20/60 = 0,2500. </t>
    </r>
    <r>
      <rPr>
        <sz val="10"/>
        <color theme="1"/>
        <rFont val="Calibri"/>
        <family val="2"/>
        <scheme val="minor"/>
      </rPr>
      <t>Incide sobre a mão de obra de Eletricista e Auxiliar de Eletricista adicional de Periculosidade conforme legislação, incide ainda sob todo o valor de mão de obra 3% para cobrir despesas relativas a EPI, EPC e ferramentas. O valor total é arredondado com duas casas decimais. Remunera-se na composição a atividade. O Valor Global da Compisição do Serviço é sem BDI, baseado em tabelas de referências oficiais de Órgãos Públicos. O Valor se refere a um ponto de IP executado.</t>
    </r>
  </si>
  <si>
    <t>SE 25.70.1100</t>
  </si>
  <si>
    <t>Projeto executivo de instalacao eletrica, inclusive iluminacao, tomadas e iluminacao de emergencia para subestacao ate 2.750 Kva, apresentado em Autocad for Windows, nos padroes da contratante, aprovado na concessionaria</t>
  </si>
  <si>
    <t>SERVIÇO DE ENGENHARIA PARA PROJETO EXECUTIVO ELÉTRICO</t>
  </si>
  <si>
    <t>Compreende esta atividade a realização de Projeto Executivo Elétrico.
O Coeficiente da Unidade, é a relação do KW Projetado sobre o KW da tabela de referencia, . O Valor se refere a valor global do projeto sem o BDI.
Referência de Medida no SCO/RJ até 2.750 kVA
kVA = kW / 1000 * PF (PF - Fator de Potência 0,8)
kVA =&gt; kW (1kVA = 0,8kW)
2.750kVA = 2.200kW
KW Projetado na Fatura 201.499
201499/2200 = 91,5904</t>
  </si>
  <si>
    <t>SERVIÇO DE ENGENHARIA PARA PROJETO LUMINOTÉCNICO</t>
  </si>
  <si>
    <t>SE 25.10.0050</t>
  </si>
  <si>
    <t>Projeto basico para urbanizacao/reurbanizacao de areas, visando a organizacao espacial e das atividades, devendo contemplar: sistema viario (locais para carga e descarga, estacionamento, parada para onibus e etc, faixa exclusiva, sinalizacao e desenho geometrico), passeios, pracas, arborizacao, iluminacao com criterios luminotecnicos, distribuicao e integracao do mobiliario urbano e equipamentos urbanos, inclusive diagnostico urbanistico e de infra-estrutura da area de projeto, levantamento dos projetos pertinentes existentes nas diversas esferas governamentais, concessionarias e permissionarios de servicos publico, aprovacoes pertinentes e a coordenacao dos projetos complementares, apresentado em Autocad nos padroes da contratante.</t>
  </si>
  <si>
    <t>ha</t>
  </si>
  <si>
    <t>Nº de Pontos</t>
  </si>
  <si>
    <t>Valor por Ponto</t>
  </si>
  <si>
    <t>003</t>
  </si>
  <si>
    <t>SINAPI</t>
  </si>
  <si>
    <t>CADASTRISTA DE REDES COM ENCARGOS SOCIAIS</t>
  </si>
  <si>
    <t>10965-E</t>
  </si>
  <si>
    <t>ENGENHEIRO SENIOR - PROJETO</t>
  </si>
  <si>
    <t>10983-E</t>
  </si>
  <si>
    <t>PROJETISTA CADISTA - PROJETO</t>
  </si>
  <si>
    <t>20148-E</t>
  </si>
  <si>
    <t>TÉCNICO INTERMEDIÁRIO - PROJETO</t>
  </si>
  <si>
    <t>3% incidente sobre mao de obra direta com Encargos Sociais para cobrir despesas relativa a equipamentos de protecao individual, uniformes e ferramentas (sobre o valor de mao de obra total da composição)</t>
  </si>
  <si>
    <t>19.004.0045-3</t>
  </si>
  <si>
    <t>VEÍCULO POPULAR 1.0 AR CONDICIONADO - BICOMBUSTÍVEL</t>
  </si>
  <si>
    <t>ETIQUETA - 1</t>
  </si>
  <si>
    <t>ETIQUETA METÁLICA - NUMERO ALFANUMÉRICO/QR CODE</t>
  </si>
  <si>
    <t>COLA 3M</t>
  </si>
  <si>
    <t>COLA JUNTA DE MOTORES DIESEL (TIPO 3M)</t>
  </si>
  <si>
    <t>SOFTWARE</t>
  </si>
  <si>
    <t>SOLUÇÃO SaaS PARA CADASTRAMENTO (EQUIPE DE CAMPO) - (MOBILE - ANDROID OU IOS)</t>
  </si>
  <si>
    <t>TABLET - 1</t>
  </si>
  <si>
    <t>COLETORES - SMART TABLET LCD 8"- IP68 - ANDROID (GALAXY TAB ACTIVE 3 OU SIMILAR)</t>
  </si>
  <si>
    <t>MAPA/GIS</t>
  </si>
  <si>
    <t>Base Cadastral GEO-MUB - GIS (Ortorretificado de imagem de Satélite, Feição de Quadras Vetorizadas e Eixos de Logradouros do Street base)</t>
  </si>
  <si>
    <t>SERVIÇO DE TÉCNICO DE CADASTRO DE PONTO GEOREFERENCIADO E ETIQUETADO EM BASE GIS</t>
  </si>
  <si>
    <t>CHP</t>
  </si>
  <si>
    <t>CHI</t>
  </si>
  <si>
    <t xml:space="preserve">Caminhão Guindauto (MUNK), equipado com cesto suplementar com alcance horizontal mínimo de 9,7m (Custo da Hora Produtiva)				</t>
  </si>
  <si>
    <t>Caminhão Guindauto (MUNK), equipado com cesto suplementar com alcance horizontal mínimo de 9,7m (Custo da Hora Inprodutiva)</t>
  </si>
  <si>
    <t xml:space="preserve">Caminhonete Cabine Simples c/ motor Flex (Custo da Hora Produtiva)				</t>
  </si>
  <si>
    <t>Caminhonete Cabine Simples c/ motor Flex (Custo da Hora Inprodutiva)</t>
  </si>
  <si>
    <t>USO DE EQUIPAMENTO/VEÍCULO PARA SUBSTITUIÇÃO DE LUMINÁRIA</t>
  </si>
  <si>
    <t>USO DE EQUIPAMENTO/VEÍCULO PARA SUBSTITUIÇÃO DE BRAÇOS</t>
  </si>
  <si>
    <r>
      <t xml:space="preserve">Compreende esta atividade a utilização do equipamento/veículos na retirada de luminária convencional, e instalação de luminária LED.
O Coeficiente da Unidade, quando em H (horas) é a relação do tempo para a realização da atividade, </t>
    </r>
    <r>
      <rPr>
        <b/>
        <sz val="10"/>
        <color theme="1"/>
        <rFont val="Calibri"/>
        <family val="2"/>
        <scheme val="minor"/>
      </rPr>
      <t>para atividade de substituição de Luminária é considerado 15 minutos de 1 hora; 15/60 = 0,2500 dividido em horas produtivas e horas improdutivas (0,2500/2 = 0,1200)</t>
    </r>
    <r>
      <rPr>
        <sz val="10"/>
        <color theme="1"/>
        <rFont val="Calibri"/>
        <family val="2"/>
        <scheme val="minor"/>
      </rPr>
      <t>. O Valor se refere a um ponto de IP executado.</t>
    </r>
  </si>
  <si>
    <r>
      <t xml:space="preserve">Compreende esta atividade a utilização do equipamento/veículos na retirada de luminária convencional, e instalação de luminária LED.
O Coeficiente da Unidade, quando em H (horas) é a relação do tempo para a realização da atividade, </t>
    </r>
    <r>
      <rPr>
        <b/>
        <sz val="10"/>
        <color theme="1"/>
        <rFont val="Calibri"/>
        <family val="2"/>
        <scheme val="minor"/>
      </rPr>
      <t>para atividade de substituição de Luminária é considerado 20 minutos de 1 hora; 20/60 = 0,3333 dividido em horas produtivas e horas improdutivas (0,3333/2 = 0,1667)</t>
    </r>
    <r>
      <rPr>
        <sz val="10"/>
        <color theme="1"/>
        <rFont val="Calibri"/>
        <family val="2"/>
        <scheme val="minor"/>
      </rPr>
      <t>. O Valor se refere a um ponto de IP executado.</t>
    </r>
  </si>
  <si>
    <t>MAT121050</t>
  </si>
  <si>
    <t>Relé fotoeletronico</t>
  </si>
  <si>
    <t>MAT039605</t>
  </si>
  <si>
    <t>Concetor Perfurante para Rede Aérea</t>
  </si>
  <si>
    <t>M</t>
  </si>
  <si>
    <t>Cabo Multipolar 3x2,5</t>
  </si>
  <si>
    <t>11572-E</t>
  </si>
  <si>
    <t>Luminaria a led, LEDRJ-02, corpo em aluminio injetado/extrudado, para instalacao em ponta de braco/nucleo, potencia maxima de 55 W, fluxo minimo 4000 lm, temperatura de cor 4000/5500 K, IP 66, IK 08, resistente a UV, tensao de 100/240 V, eficiencia minima 90,6 lm/W, IRC maior ou igual a 70, temperatura de operacao de -20/75o C. ESPECIFICACAO: EM-RIOLUZ-094</t>
  </si>
  <si>
    <t>MAT082554</t>
  </si>
  <si>
    <t>MAT082555</t>
  </si>
  <si>
    <t>Luminaria a led, LEDRJ-03, corpo em aluminio injetado/extrudado, para instalacao em ponta de braco/nucleo, potencia maxima de 85 W, fluxo minimo 6000 lm, temperatura de cor 4000/5500 K, IP 66, IK 08, resistente a UV, tensao de 100/240 V, eficiencia minima 90,6 lm/W, IRC maior ou igual a 70, temperatura de operacao de -20/75o C. ESPECIFICACAO: EM-RIOLUZ-094</t>
  </si>
  <si>
    <t>MAT082557</t>
  </si>
  <si>
    <t>Luminaria a led, LEDRJ-05, corpo em aluminio injetado/extrudado, para instalacao em ponta de braco/nucleo, potencia maxima de 170 W, fluxo minimo 9000 lm, temperatura de cor 4000/5500 K, IP 66, IK 08, resistente a UV, tensao de 100/240 V, eficiencia minima 90,6 lm/W, IRC maior ou igual a 70, temperatura de operacao de -20/75o C. ESPECIFICACAO: EM-RIOLUZ-094</t>
  </si>
  <si>
    <t>004</t>
  </si>
  <si>
    <t>MAT082558</t>
  </si>
  <si>
    <t>Luminaria a led, LEDRJ-06, corpo em aluminio injetado/extrudado, para instalacao em ponta de braco/nucleo, potencia maxima de 210 W, fluxo minimo 10000 lm, temperatura de cor 4000/5500 K, IP 66, IK 08, resistente a UV, tensao de 100/240 V, eficiencia minima 90,6 lm/W, IRC maior ou igual a 70, temperatura de operacao de -20/75o C. ESPECIFICACAO: EM-RIOLUZ-094</t>
  </si>
  <si>
    <t>005</t>
  </si>
  <si>
    <t>006</t>
  </si>
  <si>
    <t>MAT082559</t>
  </si>
  <si>
    <t>Luminaria a led, LEDRJ-07, corpo em aluminio injetado/extrudado, para instalacao em ponta de braco/nucleo, potencia maxima de 250 W, fluxo minimo 20000 lm, temperatura de cor 4000/5500 K, IP 66, IK 08, resistente a UV, tensao de 100/240 V, eficiencia minima 90,6 lm/W, IRC maior ou igual a 70, temperatura de operacao de -20/75o C. ESPECIFICACAO: EM-RIOLUZ-094</t>
  </si>
  <si>
    <t>Telegestão</t>
  </si>
  <si>
    <t>007</t>
  </si>
  <si>
    <t>MAT 033900</t>
  </si>
  <si>
    <t>MAT 093850</t>
  </si>
  <si>
    <t>MAT 106250</t>
  </si>
  <si>
    <t>Braco de aco galvanizado, diametro externo de 48mm, projecao horizontal 1770mm, curvo</t>
  </si>
  <si>
    <t>Parafuso frances de (5/8"x2 1/2")</t>
  </si>
  <si>
    <t>Porca sextavada, em aco galvanizado, de 5/8" (16mm)</t>
  </si>
  <si>
    <t>Cinta de aco galvanizado de 240mm</t>
  </si>
  <si>
    <t>KIT DE BRAÇO MÉDIO</t>
  </si>
  <si>
    <t>008</t>
  </si>
  <si>
    <t>KIT DE BRAÇO GRANDE</t>
  </si>
  <si>
    <t>MAT 016250</t>
  </si>
  <si>
    <t>MAT 016350</t>
  </si>
  <si>
    <t>009</t>
  </si>
  <si>
    <t xml:space="preserve">KIT DE SUPORTE DE TOPO NUCLEO DUPLO </t>
  </si>
  <si>
    <t>Nucleo duplo para luminarias em aco de baixo teor de carbono SAE 1010/1020, galvanizado a fusao, interna e externamente por imersao unica em banho de zinco, conforme NBR-7398 e 7400 da ABNT, nucleo diametro interno de 128mm, bracos com diametro externo de 60,3mm, comprimento de 160mm, conforme desenho A2-1913-PD e especificacao EM-RIOLUZ no 40</t>
  </si>
  <si>
    <t>MAT 0911565</t>
  </si>
  <si>
    <t>Planilha Referencial de Composição de BDI</t>
  </si>
  <si>
    <t>COMPOSIÇÃO DO BDI REFERENCIAL</t>
  </si>
  <si>
    <t>COMPOSIÇÃO ANALÍTICA DO BDI - Construção e Manutenção de Estações e Redes de Distribuição de Energia Elétrica</t>
  </si>
  <si>
    <t>DISCRIMINIAÇÃO</t>
  </si>
  <si>
    <t>Intervalo de Admissibilidade</t>
  </si>
  <si>
    <t>ÍNDICE ADOTADO</t>
  </si>
  <si>
    <t>1º quartil</t>
  </si>
  <si>
    <t>médio</t>
  </si>
  <si>
    <t>3º quartil</t>
  </si>
  <si>
    <t>X</t>
  </si>
  <si>
    <t>Administração Central</t>
  </si>
  <si>
    <t>Seguro e Garantia</t>
  </si>
  <si>
    <t xml:space="preserve">Risco </t>
  </si>
  <si>
    <t>Total</t>
  </si>
  <si>
    <t>Y</t>
  </si>
  <si>
    <t>Despesas Financeiras</t>
  </si>
  <si>
    <t>Z</t>
  </si>
  <si>
    <t>Lucro</t>
  </si>
  <si>
    <t>I</t>
  </si>
  <si>
    <t>Tributos (totais)</t>
  </si>
  <si>
    <t>COFINS</t>
  </si>
  <si>
    <t>PIS</t>
  </si>
  <si>
    <t>CPRB</t>
  </si>
  <si>
    <t xml:space="preserve"> % DE BDI A SER UTILIZADO =</t>
  </si>
  <si>
    <t>LEGENDA</t>
  </si>
  <si>
    <t>FÓRMULA PARA CÁLCULO DO BDI</t>
  </si>
  <si>
    <t>X =</t>
  </si>
  <si>
    <t>Despesas indiretas (exceto tributos e despesas financeiras)</t>
  </si>
  <si>
    <t>Y =</t>
  </si>
  <si>
    <t>Despesas financeiras</t>
  </si>
  <si>
    <t>Z =</t>
  </si>
  <si>
    <t>I =</t>
  </si>
  <si>
    <t>Taxa representativa da incidência de impostos</t>
  </si>
  <si>
    <t>BDI=</t>
  </si>
  <si>
    <t>(1+X)     x</t>
  </si>
  <si>
    <t>(1+Y)    x</t>
  </si>
  <si>
    <t>(1+Z)</t>
  </si>
  <si>
    <t>-1</t>
  </si>
  <si>
    <t>(1 - I)</t>
  </si>
  <si>
    <t>- 1</t>
  </si>
  <si>
    <t xml:space="preserve">Obs: </t>
  </si>
  <si>
    <t>Esta planilha foi elaborada conforme equação para cálculo do percentual do BDI recomendada pelo relatório do acórdão TCU – 2369/2011 e TCU – 2622/2013, conforme Fórmula apresentados.O Intervalo de Admissibilidade foram adotados conforme orientação do ACÓRDÃO 2622/2013 – TCU – Plenário.</t>
  </si>
  <si>
    <t>001 - SERVIÇO DE INSTALAÇÃO DE LUMINÁRIA LED 5.200lm</t>
  </si>
  <si>
    <t>BDI</t>
  </si>
  <si>
    <t>POR AVENÇA - (CONSUMO 11,52H)</t>
  </si>
  <si>
    <t>Potência da Lâmpada</t>
  </si>
  <si>
    <t>Tipo</t>
  </si>
  <si>
    <t>Perdas</t>
  </si>
  <si>
    <t>Potência Total</t>
  </si>
  <si>
    <t>Quantidade</t>
  </si>
  <si>
    <t>Carga Total</t>
  </si>
  <si>
    <t>Consumo de Energia</t>
  </si>
  <si>
    <t>BANDEIRAS</t>
  </si>
  <si>
    <t>TARIF. VIG.</t>
  </si>
  <si>
    <t>ICMS 32%</t>
  </si>
  <si>
    <t>PIS 1,65%</t>
  </si>
  <si>
    <t>COFINS 7,6%</t>
  </si>
  <si>
    <t>TARIFA</t>
  </si>
  <si>
    <t>Dif. Bandeiras (R$)</t>
  </si>
  <si>
    <t>(W)</t>
  </si>
  <si>
    <t>Reator (W)</t>
  </si>
  <si>
    <t>Ignitor (W)</t>
  </si>
  <si>
    <t>Relé (W)</t>
  </si>
  <si>
    <t>(unid.)</t>
  </si>
  <si>
    <t>(kW/h mês)</t>
  </si>
  <si>
    <t>Verde</t>
  </si>
  <si>
    <t>(R$)</t>
  </si>
  <si>
    <t>(%)</t>
  </si>
  <si>
    <t>Ref. Mês/Ano</t>
  </si>
  <si>
    <t>Tarifa c/ Impostos</t>
  </si>
  <si>
    <t>Bandeira</t>
  </si>
  <si>
    <t>ICMS</t>
  </si>
  <si>
    <t>MISTA</t>
  </si>
  <si>
    <t>Amarela</t>
  </si>
  <si>
    <t>Vermelha Patamar 1</t>
  </si>
  <si>
    <t>Vemelha P1</t>
  </si>
  <si>
    <t>Vermelha Patamar 2</t>
  </si>
  <si>
    <t>VAPOR DE MERCÚRIO</t>
  </si>
  <si>
    <t>MULTI VAPOR METÁLICO</t>
  </si>
  <si>
    <t>VAPOR DE SÓDIO ALTA PRESSÃO</t>
  </si>
  <si>
    <t>* abril/20 aumento tarifário RESOLUÇÃO HOMOLOGATÓRIA Nº 2.666 de 10 de março de 2020.</t>
  </si>
  <si>
    <t>Média</t>
  </si>
  <si>
    <t>FLUORESCENTE</t>
  </si>
  <si>
    <t>LED</t>
  </si>
  <si>
    <t>Total por havença (consumo 11,52H)</t>
  </si>
  <si>
    <t>Tarifa Média B4a dos ultimos 12 meses - KWh/m</t>
  </si>
  <si>
    <t>Total da Fatura de Energia Calculado pelo Cadastro</t>
  </si>
  <si>
    <t>Consumo Total</t>
  </si>
  <si>
    <t>Total de Pontos de IP por Avença - 12H</t>
  </si>
  <si>
    <t>Total do Cadastro e IP do Município</t>
  </si>
  <si>
    <t>TOTAIS DE PONTOS DE IP POR TECNOLOGIA</t>
  </si>
  <si>
    <t>Vapor de Mista</t>
  </si>
  <si>
    <t>Vapor de Mercúrio</t>
  </si>
  <si>
    <t>Multi Vapor Metálico</t>
  </si>
  <si>
    <t>Vapor de Sódio Alta Pressão</t>
  </si>
  <si>
    <t>Fluorescente</t>
  </si>
  <si>
    <t>Led</t>
  </si>
  <si>
    <t>LED EXISTENTE</t>
  </si>
  <si>
    <t>Tarifa B4a - KWh/m</t>
  </si>
  <si>
    <t>Total da Fatura de Energia</t>
  </si>
  <si>
    <t>TOTAIS DE PONTOS DE IP 100% EFICITENTIZADO</t>
  </si>
  <si>
    <t>LED EXISTENTES</t>
  </si>
  <si>
    <t>Total de Pontos em LED</t>
  </si>
  <si>
    <t>Fatura Atual</t>
  </si>
  <si>
    <t>Fatura de Energia Mensal</t>
  </si>
  <si>
    <t>Total de Pontos Para Efecientizar</t>
  </si>
  <si>
    <t>Fatura Projetada</t>
  </si>
  <si>
    <t>TIPIFICAÇÃO DE VIA 5101/2018</t>
  </si>
  <si>
    <t>Fatura Média de Energia 60m</t>
  </si>
  <si>
    <t>Total do Parque de Iluminação Pública</t>
  </si>
  <si>
    <t>Redução Mensal  (R$)</t>
  </si>
  <si>
    <t>V4</t>
  </si>
  <si>
    <t>P4</t>
  </si>
  <si>
    <t>Economia Média mês durante  60m</t>
  </si>
  <si>
    <t>Redução(%)</t>
  </si>
  <si>
    <t>P3</t>
  </si>
  <si>
    <t>V3</t>
  </si>
  <si>
    <t>Economia em 1 anos</t>
  </si>
  <si>
    <t>Economia em 5 anos</t>
  </si>
  <si>
    <t>V2</t>
  </si>
  <si>
    <t>P2</t>
  </si>
  <si>
    <t>V1</t>
  </si>
  <si>
    <t>Tempo de Vida da Luminária LED</t>
  </si>
  <si>
    <t>P1</t>
  </si>
  <si>
    <t>Contrato de Manutenção Existente</t>
  </si>
  <si>
    <t>Vlr. Mensal</t>
  </si>
  <si>
    <t>Economia no Perído de Vida da Luminária LED</t>
  </si>
  <si>
    <t>Opex</t>
  </si>
  <si>
    <t>Custo Atual Mensal Manutenção</t>
  </si>
  <si>
    <t>Custo Atual Anual  Manutenção</t>
  </si>
  <si>
    <t>Custo com Manutenção após Instalação LED</t>
  </si>
  <si>
    <t>Economia com a Manutenção em 5 anos</t>
  </si>
  <si>
    <t>Consumo Mensal dos Pontos a Eficientizar (kW/h)</t>
  </si>
  <si>
    <t>Consumo Mensal dos Pontos Eficientizados (kW/h)</t>
  </si>
  <si>
    <t xml:space="preserve">Redução de Consumo Mensal  (kW/h) </t>
  </si>
  <si>
    <t>01916-E</t>
  </si>
  <si>
    <t>DIVISÃO ADMINISTRATIVA</t>
  </si>
  <si>
    <t>01900-E</t>
  </si>
  <si>
    <t>MATERIAL</t>
  </si>
  <si>
    <t>19.004.0211-0</t>
  </si>
  <si>
    <t>Veículo Divisão Administrativa e Apoio Técnico</t>
  </si>
  <si>
    <t>Caminhão Munck c/ Cesto Aéreo 16m</t>
  </si>
  <si>
    <t>Qtd. de Luminária</t>
  </si>
  <si>
    <t>Valor Total s/ BDI</t>
  </si>
  <si>
    <t>5200lm</t>
  </si>
  <si>
    <t>7400lm</t>
  </si>
  <si>
    <t>9800lm</t>
  </si>
  <si>
    <t>15000lm</t>
  </si>
  <si>
    <t>16800lm c/ Teleg.</t>
  </si>
  <si>
    <t>22200lm c/ Teleg.</t>
  </si>
  <si>
    <t>ESTRUTURA DO CCO</t>
  </si>
  <si>
    <t>Item</t>
  </si>
  <si>
    <t>Valor Unitário</t>
  </si>
  <si>
    <t>Valor Total</t>
  </si>
  <si>
    <t>Ar Condicionado 9.000 BTus</t>
  </si>
  <si>
    <t>Mesa NOC-Nucleo de Operação e Controle C/ Compartimento e Tampo Office e regua 4 tomadas</t>
  </si>
  <si>
    <t>Cadeiras NOC-Nucleo de Operação e Controle</t>
  </si>
  <si>
    <t>Sistema de Video Wall</t>
  </si>
  <si>
    <t>Servente p/ Serviços de Conservação</t>
  </si>
  <si>
    <t>ESTRUTURA DO CANTEIRO</t>
  </si>
  <si>
    <t>Estação de Trabalho c/ Gaveiteiro</t>
  </si>
  <si>
    <t>Cadeiras p/ Estação de Trabalho</t>
  </si>
  <si>
    <t>Desktop c/ Sistema Op. Windows e Pacote Office 1 monitores</t>
  </si>
  <si>
    <t>Impressora Multifuncional Laser Monocromática</t>
  </si>
  <si>
    <t>Notebook i5 c/ Sistema Op. Windowns e Pacote Ofíce</t>
  </si>
  <si>
    <t>Armário Alto 2 portas</t>
  </si>
  <si>
    <t>Armário Baixo 2 portas</t>
  </si>
  <si>
    <t>Arquivo de Aço</t>
  </si>
  <si>
    <t>Armário de Aço de Vestiário 8 portas</t>
  </si>
  <si>
    <t>01901-E</t>
  </si>
  <si>
    <t>Auxiliar de Escritório c/ Encargos Sociais</t>
  </si>
  <si>
    <t>01912-E</t>
  </si>
  <si>
    <t>Almoxarife c/ Encargos Sociais</t>
  </si>
  <si>
    <t>Braço Longo</t>
  </si>
  <si>
    <t>CENTRO DE CONTROLE OPERACIONAL</t>
  </si>
  <si>
    <t>ESTRUTURA DE CCO - CENTRO DE CONTROLE OPERACIONAL</t>
  </si>
  <si>
    <t>SOFTWARE DE GESTÃO DE PARQUE DE ILUMINAÇÃO PÚBLICA</t>
  </si>
  <si>
    <t>SOFTWARE DE TELEGESTÃO DE ILUMINAÇÃO PÚBLICA</t>
  </si>
  <si>
    <t>GALPÃO DE CANTEIRO DE OBRAS 100M2</t>
  </si>
  <si>
    <t>MATERIAL DE EXPEDIENTE/CÓPIAS/IMPRESSÕES</t>
  </si>
  <si>
    <t>LOC</t>
  </si>
  <si>
    <t>TELEFONE FIXO</t>
  </si>
  <si>
    <t>INTERNET</t>
  </si>
  <si>
    <t>TELEFONE MÓVEL</t>
  </si>
  <si>
    <t>ÁGUA/ESGOTO</t>
  </si>
  <si>
    <t>ENERGIA ELÉTRICA</t>
  </si>
  <si>
    <t>DIVISÃO TÉCNICA E OPERACIONAL</t>
  </si>
  <si>
    <t>ELETROTÉCNICO C/ENCARGOS SOCIAIS</t>
  </si>
  <si>
    <t>ELETRICISTA C/ENCARGOS SOCIAIS + ADICIONAL DE PERICULOSIDADE LEI 7369/2012 (30%)</t>
  </si>
  <si>
    <t>AJUDANTE MONTADOR ELETROMECANICO C/ENCARGOS SOCIAIS + ADICIONAL DE PERICULOSIDADE LEI 7369/2012 (30%)</t>
  </si>
  <si>
    <t>MOTORISTA OPERADOR DE MUNCK C/ ENCARGOS SOCIAIS</t>
  </si>
  <si>
    <t>AUXILIAR ELETROTÉCNICO C/ENCARGOS SOCIAIS</t>
  </si>
  <si>
    <t>MÃO DE OBRA DIVISÃO TÉCNICA E OPERACIONAL</t>
  </si>
  <si>
    <t>Encargos complementares (3%)</t>
  </si>
  <si>
    <t>SERVIÇO DE OPERAÇÃO CONTINUADA DO PARQUE DE ILUMINAÇÃO PÚBLICA</t>
  </si>
  <si>
    <t xml:space="preserve">CANTEIRO, MANUTENÇÃO DE CANTEIRO* </t>
  </si>
  <si>
    <t>VEÍCULOS/EQUIPAMENTOS</t>
  </si>
  <si>
    <t>Meses</t>
  </si>
  <si>
    <t xml:space="preserve">Luminária LED </t>
  </si>
  <si>
    <t>LOTE</t>
  </si>
  <si>
    <t>002 - SERVIÇO DE INSTALAÇÃO DE LUMINÁRIA LED 7.400lm</t>
  </si>
  <si>
    <t>003 - SERVIÇO DE INSTALAÇÃO DE LUMINÁRIA LED 9.800lm</t>
  </si>
  <si>
    <t>004 - SERVIÇO DE INSTALAÇÃO DE LUMINÁRIA LED 15.000lm</t>
  </si>
  <si>
    <t>006 - SERVIÇO DE INSTALAÇÃO DE LUMINÁRIA LED 22.200lm c/ Telegestão</t>
  </si>
  <si>
    <t>005 - SERVIÇO DE INSTALAÇÃO DE LUMINÁRIA LED 16.800lm c/ Telegestão</t>
  </si>
  <si>
    <t>007 - SERVIÇO DE INSTALAÇÃO DE BRAÇO MÉDIO</t>
  </si>
  <si>
    <t>008 - SERVIÇO DE INSTALAÇÃO DE BRAÇO GRANDE</t>
  </si>
  <si>
    <t>009 - SERVIÇO DE INSTALAÇÃO DE SUPORTE DE TOPO DUPLO</t>
  </si>
  <si>
    <t>ITEM</t>
  </si>
  <si>
    <t>DESCRIÇÃO</t>
  </si>
  <si>
    <t>QUANT.</t>
  </si>
  <si>
    <t>1.</t>
  </si>
  <si>
    <t xml:space="preserve">SERVIÇOS DE LOCAÇÃO DE ATIVOS DO PARQUE DE ILUMINAÇÃO PÚBLICA </t>
  </si>
  <si>
    <t>1.1</t>
  </si>
  <si>
    <t>unid.</t>
  </si>
  <si>
    <t>1.2</t>
  </si>
  <si>
    <t>1.3</t>
  </si>
  <si>
    <t>1.4</t>
  </si>
  <si>
    <t>1.5</t>
  </si>
  <si>
    <t>1.6</t>
  </si>
  <si>
    <t>1.7</t>
  </si>
  <si>
    <t>1.8</t>
  </si>
  <si>
    <t>1.9</t>
  </si>
  <si>
    <t>VALOR TOTAL DA LOCAÇÃO POR ITEM</t>
  </si>
  <si>
    <t>Cronograma Fisico/Financeiro de Locação</t>
  </si>
  <si>
    <t>VALOR DA LOCAÇÃO</t>
  </si>
  <si>
    <t>Composição de Itens</t>
  </si>
  <si>
    <t>Valor (i0)</t>
  </si>
  <si>
    <t>Mes 3</t>
  </si>
  <si>
    <t>Mes 4</t>
  </si>
  <si>
    <t>Mes 5</t>
  </si>
  <si>
    <t>Mes 6</t>
  </si>
  <si>
    <t>Mes 7</t>
  </si>
  <si>
    <t>Braço "S"</t>
  </si>
  <si>
    <t>Núcleo Duplo - Suporte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</si>
  <si>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</si>
  <si>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</si>
  <si>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</si>
  <si>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</si>
  <si>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</si>
  <si>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</si>
  <si>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</si>
  <si>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</si>
  <si>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</si>
  <si>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</si>
  <si>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</si>
  <si>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</si>
  <si>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</si>
  <si>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</si>
  <si>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</si>
  <si>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</si>
  <si>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</si>
  <si>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</si>
  <si>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</si>
  <si>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</si>
  <si>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</si>
  <si>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</si>
  <si>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</si>
  <si>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</si>
  <si>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</si>
  <si>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</si>
  <si>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</si>
  <si>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</si>
  <si>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</si>
  <si>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</si>
  <si>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</si>
  <si>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</si>
  <si>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</si>
  <si>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</si>
  <si>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</si>
  <si>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</si>
  <si>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</si>
  <si>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</si>
  <si>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</si>
  <si>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</si>
  <si>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</si>
  <si>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</si>
  <si>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</si>
  <si>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</si>
  <si>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</si>
  <si>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</si>
  <si>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</si>
  <si>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</si>
  <si>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</si>
  <si>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</si>
  <si>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</si>
  <si>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</si>
  <si>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</si>
  <si>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</si>
  <si>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</si>
  <si>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</si>
  <si>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</si>
  <si>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</si>
  <si>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</si>
  <si>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</si>
  <si>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Mobilização</t>
  </si>
  <si>
    <t>Quantidade Luminária 40W</t>
  </si>
  <si>
    <t>MOBILIZAÇÃO</t>
  </si>
  <si>
    <t>Valor da locação total do item</t>
  </si>
  <si>
    <t>Quantidade Luminária 56W</t>
  </si>
  <si>
    <t>Quantidade Luminária 75W</t>
  </si>
  <si>
    <t>Quantidade Luminária 115W</t>
  </si>
  <si>
    <t>Quantidade Luminária 129W</t>
  </si>
  <si>
    <t>Quantidade Luminária 170W</t>
  </si>
  <si>
    <t>Quantidades de Braços "S"</t>
  </si>
  <si>
    <t>Valor da Locação total do item</t>
  </si>
  <si>
    <t>Quantidades de Braços Longos</t>
  </si>
  <si>
    <t>Quantidades de Suportes</t>
  </si>
  <si>
    <t>Quantidade Total Luminárias</t>
  </si>
  <si>
    <t>Valor de Locação Total Luminárias</t>
  </si>
  <si>
    <t>Quantidade Total Braços e Suportes</t>
  </si>
  <si>
    <t>Valor de Locação Total Braços e Suportes</t>
  </si>
  <si>
    <t>Valor Total de Locação</t>
  </si>
  <si>
    <t>Redução dos custos com a Manutenção, durante a obra</t>
  </si>
  <si>
    <t>Valor total do Investimento</t>
  </si>
  <si>
    <t>VPL da Locação</t>
  </si>
  <si>
    <t>Dif. por (ARRED)</t>
  </si>
  <si>
    <t>Tx. de Desc. a.a.</t>
  </si>
  <si>
    <t>Tx. de Desc. a.m.</t>
  </si>
  <si>
    <t xml:space="preserve">Diferença </t>
  </si>
  <si>
    <t>Cronograma de Energia Carga/Financeiro</t>
  </si>
  <si>
    <t>Potência na Ponta Sem Alteração (W)</t>
  </si>
  <si>
    <t>Potência na Ponta a Ser Eficientizada (W)</t>
  </si>
  <si>
    <t>Potencia na Ponta Total (W)</t>
  </si>
  <si>
    <t>Redução de Potência na Ponta dos Pontos Eficientizados (W)</t>
  </si>
  <si>
    <t>Potência na Ponta Reduzida Acumulada (W)</t>
  </si>
  <si>
    <t>Redução de Potência na Ponta (W)</t>
  </si>
  <si>
    <t>Diferença</t>
  </si>
  <si>
    <t>Potencia na Ponta Projetada Total (kW)</t>
  </si>
  <si>
    <t>Consumo (kWh/mês)</t>
  </si>
  <si>
    <t>Valor da Fatura de Energia (R$)</t>
  </si>
  <si>
    <t>Luminária 40W - 5200lm</t>
  </si>
  <si>
    <t>Luminária 56W - 7400lm</t>
  </si>
  <si>
    <t>Luminária 75W - 9800lm</t>
  </si>
  <si>
    <t>Luminária 115W - 15000lm</t>
  </si>
  <si>
    <t>Luminária 129W - 16800lm</t>
  </si>
  <si>
    <t>Luminária 170W - 22200lm</t>
  </si>
  <si>
    <t>LED IP</t>
  </si>
  <si>
    <t>Braços/Suporte</t>
  </si>
  <si>
    <t>POTÊNCIA LED (W)</t>
  </si>
  <si>
    <t>Valor Global do Ativo</t>
  </si>
  <si>
    <t>100% LED</t>
  </si>
  <si>
    <t>CIP 1</t>
  </si>
  <si>
    <t>CIP 2</t>
  </si>
  <si>
    <t>BRAÇOS</t>
  </si>
  <si>
    <t>CIP 3</t>
  </si>
  <si>
    <t>Brç. Tipo "S"</t>
  </si>
  <si>
    <t>Brç. Longo</t>
  </si>
  <si>
    <t>Economia Energia + Manutenção =&gt;</t>
  </si>
  <si>
    <t xml:space="preserve">VALOR TOTAL DO INVESTIMENTO </t>
  </si>
  <si>
    <t>Compensa no valor da Locação = &gt;</t>
  </si>
  <si>
    <t>Fatura de Energia Atual</t>
  </si>
  <si>
    <t>mês =&gt; Média - 12 meses</t>
  </si>
  <si>
    <t>Fat Energia Pós Investimento</t>
  </si>
  <si>
    <t>mês =&gt; Média - 60 meses</t>
  </si>
  <si>
    <t>Luminárias LED</t>
  </si>
  <si>
    <t>Economia Fat. Energia =&gt;</t>
  </si>
  <si>
    <t>Lum. LED c/ Telegestão</t>
  </si>
  <si>
    <t>Locação =&gt;</t>
  </si>
  <si>
    <t>Luminárias Eficientizadas</t>
  </si>
  <si>
    <t>Receita CIP =&gt;</t>
  </si>
  <si>
    <t>mês =&gt; Média CIP - 12 meses</t>
  </si>
  <si>
    <t>Custo da Manutenção mensal</t>
  </si>
  <si>
    <t>LED Existentes</t>
  </si>
  <si>
    <t>Saldo =&gt;</t>
  </si>
  <si>
    <t>Custo Médio de Mantenção 60m</t>
  </si>
  <si>
    <t>Economia Manutenção =&gt;</t>
  </si>
  <si>
    <t>Economia média mês durante 60m</t>
  </si>
  <si>
    <t>Total do Parque</t>
  </si>
  <si>
    <t>Economia Total por Mês=&gt;</t>
  </si>
  <si>
    <t>Economia Anual =&gt;</t>
  </si>
  <si>
    <t>TOTAL DE PONTOS LED IP</t>
  </si>
  <si>
    <t>TIPO</t>
  </si>
  <si>
    <t>LED IP C/ TELEGESTÃO</t>
  </si>
  <si>
    <t>LUMINÁRIAS</t>
  </si>
  <si>
    <t>BRAÇO MÉDIO</t>
  </si>
  <si>
    <t>BRAÇO LONGO</t>
  </si>
  <si>
    <t>SUPORTE</t>
  </si>
  <si>
    <t>MODELO</t>
  </si>
  <si>
    <t>Valor unit. do Ativo</t>
  </si>
  <si>
    <t>RESUMO DE ATIVOS</t>
  </si>
  <si>
    <t>(A) Fatura de Energia Atual</t>
  </si>
  <si>
    <t>(A - B) Total</t>
  </si>
  <si>
    <t>Economia</t>
  </si>
  <si>
    <t>(B) Fatura de Energia Projetada</t>
  </si>
  <si>
    <t xml:space="preserve">Valor Economizado </t>
  </si>
  <si>
    <t>1.1. ECONOMIA DE ENERGIA MENSAL PÓS EXECUÇÃO</t>
  </si>
  <si>
    <t>Beneficio Full/pós Exec.</t>
  </si>
  <si>
    <t>Economia M1</t>
  </si>
  <si>
    <t>Economia M2</t>
  </si>
  <si>
    <t>Economia M3</t>
  </si>
  <si>
    <t>Economia M4</t>
  </si>
  <si>
    <t>Economia M5</t>
  </si>
  <si>
    <t>Economia M6</t>
  </si>
  <si>
    <t>Economia M7</t>
  </si>
  <si>
    <t>Economia M8 a M60</t>
  </si>
  <si>
    <t>1.2. ECONOMIA DE ENERGIA VIGENCIA CONTRATO</t>
  </si>
  <si>
    <t>(A) Custo com Manutenção Atual</t>
  </si>
  <si>
    <t>(B) Custo com Manutenção no Contrato</t>
  </si>
  <si>
    <t>Economia M7 a M60</t>
  </si>
  <si>
    <t>VALORES GERAIS</t>
  </si>
  <si>
    <t>(A) Carga na Ponta (kW)</t>
  </si>
  <si>
    <t>(B) Carga na Ponta Projetado (kW)</t>
  </si>
  <si>
    <t>(A - B) Redução de Carga na Ponta (kW)</t>
  </si>
  <si>
    <t>Eficiência Energética</t>
  </si>
  <si>
    <t>2.1. ECONOMIA COM MANUTENÇÃO PÓS EXECUÇÃO - 7º MÊS</t>
  </si>
  <si>
    <t>3.1. VANTAGEM TÉCNICA</t>
  </si>
  <si>
    <t>a) Carga</t>
  </si>
  <si>
    <t xml:space="preserve">b) Energia KWh </t>
  </si>
  <si>
    <t>2.2. ECO. DE MANUTENÇÃO VIGENCIA CONTRATO</t>
  </si>
  <si>
    <t>4.1.VALOR FINANCEIRO PARA MODELO DE PROCESSO - PERÍODO EM MESES</t>
  </si>
  <si>
    <t>Fatura c/locação</t>
  </si>
  <si>
    <t>Receita CIP Média</t>
  </si>
  <si>
    <t xml:space="preserve">5.1. RESUMO </t>
  </si>
  <si>
    <t>Fatura Energia</t>
  </si>
  <si>
    <t>Custo Mensal Manutenção</t>
  </si>
  <si>
    <t>B) COM LOCAÇÃO</t>
  </si>
  <si>
    <t>A) SEM LOCAÇÃO</t>
  </si>
  <si>
    <t>M0</t>
  </si>
  <si>
    <t>M1</t>
  </si>
  <si>
    <t>M2</t>
  </si>
  <si>
    <t>M3</t>
  </si>
  <si>
    <t>M4</t>
  </si>
  <si>
    <t>M5</t>
  </si>
  <si>
    <t>M6</t>
  </si>
  <si>
    <t>M7</t>
  </si>
  <si>
    <t>M8 a M60</t>
  </si>
  <si>
    <t>Custeio da IP</t>
  </si>
  <si>
    <t>ATUAL</t>
  </si>
  <si>
    <t>KIT DE LUMINÁRIA LED 22.200lm COM TELEGESTÃO - 170W</t>
  </si>
  <si>
    <t>KIT DE LUMINÁRIA LED 16.800lm COM TELEGESTÃO - 129W</t>
  </si>
  <si>
    <t>KIT DE LUMINÁRIA LED 5.200lm - 40W</t>
  </si>
  <si>
    <t>KIT DE LUMINÁRIA LED 7.400lm - 56W</t>
  </si>
  <si>
    <t>KIT DE LUMINÁRIA LED 9.800lm - 75W</t>
  </si>
  <si>
    <t>KIT DE LUMINÁRIA LED 15.000lm - 115W</t>
  </si>
  <si>
    <t>Necessidade de Aumento da CIP</t>
  </si>
  <si>
    <t>Receita CIP Média Atual</t>
  </si>
  <si>
    <t>CIP ideal</t>
  </si>
  <si>
    <t>Aumento de CIP</t>
  </si>
  <si>
    <t>VALOR UNITÁRIO DA LOCAÇÃO S/ BDI</t>
  </si>
  <si>
    <t>1.10</t>
  </si>
  <si>
    <t>010 - ADMINISTRAÇÃO LOCAL</t>
  </si>
  <si>
    <t>ADMINISTRAÇÃO LOCAL</t>
  </si>
  <si>
    <t>Está incluso nessa atividade o Gerenciamento assistido por software do Parque de  IP, Centro de Controle Operacional para gerenciar todo o parque de Iluminação Pública com total de 7.538 pontos, durante o período de 60 meses. 
Para Mão de Obra, considerado 1 Eletrôtécnico com o cumprimento de 176H semanais e 2 Aux. Eletrotécnicos de 176H semanais (352H). O Valor se refere a valor global do projeto sem BDI</t>
  </si>
  <si>
    <t>VALOR TOTAL C/BDI</t>
  </si>
  <si>
    <t>100 unid.</t>
  </si>
  <si>
    <t>% sobre o valor total</t>
  </si>
  <si>
    <t>Referência  de percentuais - Acórdão 2622/2013 - TCU - Plenário</t>
  </si>
  <si>
    <t>Percentual de Administração Local inserido no Custo Direto</t>
  </si>
  <si>
    <t>1º Quartil</t>
  </si>
  <si>
    <t>Médio</t>
  </si>
  <si>
    <t>3º Quartil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</si>
  <si>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</si>
  <si>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</si>
  <si>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</si>
  <si>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</si>
  <si>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Portuáreias, Maritimas e Fluviais</t>
  </si>
  <si>
    <t>VALOR UNITÁRIO DA LOCAÇÃO C/ADM LOCAL &amp; C/BDI</t>
  </si>
  <si>
    <t>Estudo de Fluxo Para Atender os Requisitos Fotométricos</t>
  </si>
  <si>
    <t>V3 A</t>
  </si>
  <si>
    <t>V3 B</t>
  </si>
  <si>
    <t>Passeio (m)</t>
  </si>
  <si>
    <t>Rodagem (m)</t>
  </si>
  <si>
    <t>Entre Poste (m)</t>
  </si>
  <si>
    <t>Lumens Mínimos Necessários (lm)</t>
  </si>
  <si>
    <t>Tabelas Oficiais Públicas de Referência</t>
  </si>
  <si>
    <t>Potência Nominal Necessária (w)</t>
  </si>
  <si>
    <t>(lm/W)</t>
  </si>
  <si>
    <t>Eficiência Minima Ref. SCO/EMOP</t>
  </si>
  <si>
    <t>V3 C</t>
  </si>
  <si>
    <t>V2 A</t>
  </si>
  <si>
    <t>V2 B</t>
  </si>
  <si>
    <t>V1 A</t>
  </si>
  <si>
    <t>Economicidade de Energia, Eficiencia Energética e Vantagem a Administração (referências Minimas em Tabelas Oficiais)</t>
  </si>
  <si>
    <t>130 lm/W</t>
  </si>
  <si>
    <t>Consumo de Energia (kW/h mês)</t>
  </si>
  <si>
    <t>Potência da IP (w)</t>
  </si>
  <si>
    <t>Vlr Tarifa (R$)</t>
  </si>
  <si>
    <t>Consumo Mensal Atual da IP a Eficientizar (kW/h)</t>
  </si>
  <si>
    <t>Consumo Mensal Projetada da IP a Eficientizar (kW/h)</t>
  </si>
  <si>
    <t>Redução (%)</t>
  </si>
  <si>
    <t>Fatura Atual da IP a Eficientizar</t>
  </si>
  <si>
    <t>Fatura Projetada da IP a Eficientizar</t>
  </si>
  <si>
    <t>Redução na Fatura Mensal  (R$)</t>
  </si>
  <si>
    <t>Economia em 10 anos</t>
  </si>
  <si>
    <t>Eficiência Mínima para Economicidade</t>
  </si>
  <si>
    <t>90,6 lm/W</t>
  </si>
  <si>
    <t>O Estudo do Fluxo foi realizado com a finalidade de entregar as condições mínimas para o atendimento aos requisitos fotométricos da ABNT 5101, para o atendimento segundo as classificação das vias do município, bem como a melhor eficiência energética tendo como princípio fundamental da vantajosidade econômica para a administração pública.
Utilizado da referência de valor a tabela SCO/RJ e valores compatíveis de mercado, optou-se para que o estudo ecômico demonstra-se uma maior vantajosidade luminárias de no mínimo 130lm/W. Conforme demostrado acima.</t>
  </si>
  <si>
    <t>Estudo de Fluxo</t>
  </si>
  <si>
    <t>Vermelha 1</t>
  </si>
  <si>
    <t>Vermelha 2</t>
  </si>
  <si>
    <t>1.3. MENSAIS EVITADOS QUANDO EM REGIME TARIFÁRIO DE BANDEIRAS</t>
  </si>
  <si>
    <t>Compreende esta atividade a realização de Projeto Luminotécnico Viário, projeto realizado ponto a ponto.
A tabela de referência SCO/RJ, trada em quantidades de hectáres do projeto, trabalhando-se 200h por hectár. No entanto a quantidades de horas estimadas para realização do projeto Luminotécnico ponto a ponto é de 15 mim (15/60 = 0,2500) ou 0,25h por ponto, considerando a quantidade de 7.538 pontos de IP, 1.970h, sendo a referência utilizada SCO de 200h, o coeficiente apurado é 1970h/200h = 9,85. O Valor se refere a valor global do projeto sem BDI</t>
  </si>
  <si>
    <t>Compreende esta atividade a realização do Cadastratamento do ponto de IP, georeferenciado e etiquetado ponto a ponto sob base GIS para um total de 7.538 pontos. 
Para Mão de Obra, considera- se para o Cadastrista levantamento em campo 10min (10/60 = 0,1666h) por ponto; para o Projetista Cadista e Técnico Intermédiario 5min (5/60 = 0,0833h) por pnto; para o Engenheiro o tempo de 2min por ponto (2/60 = 0,0333h). O Coeficiente para o veículo é considerado o tempo de execução do cadastrita em campo. Já o coeficiente de cola é considerado que cada tubo realiza 80 pontos, o município possui 7.538 pontos (7538/80 = 94,2250). Para Licença do Software é considerado 5 meses como o coeficente durante o uso no cadastramento. O Valor se refere a valor global do projeto sem BDI</t>
  </si>
  <si>
    <t>Compreende esta atividade a manutenção dos 7.538 pontos. Considerando, Canteiro, Mao de Obra Operacional e Administrativa bem comi Equipamentos. O Valor se refere a valor global do projeto sem BDI</t>
  </si>
  <si>
    <t>CADASTRO DE IP [Casimiro de Abreu/RJ] - ATUAL EXISTENTE - ESTUDO COM LED 130 lm/W</t>
  </si>
  <si>
    <t>PONTOS DO CADASTRO DE IP [Casimiro de Abreu/RJ]</t>
  </si>
  <si>
    <t>CADASTRO DE IP [Casimiro de Abreu/RJ] - PROJETADO</t>
  </si>
  <si>
    <t>PONTOS DO CADASTRO DE IP [Casimiro de Abreu/RJ] 100% EFECIENTIZADO</t>
  </si>
  <si>
    <t>ISS (Casimiro de Abreu - RJ)</t>
  </si>
</sst>
</file>

<file path=xl/styles.xml><?xml version="1.0" encoding="utf-8"?>
<styleSheet xmlns="http://schemas.openxmlformats.org/spreadsheetml/2006/main">
  <numFmts count="2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0.0"/>
    <numFmt numFmtId="166" formatCode="_-* #,##0_-;\-* #,##0_-;_-* &quot;-&quot;??_-;_-@_-"/>
    <numFmt numFmtId="167" formatCode="#,##0_ ;\-#,##0\ "/>
    <numFmt numFmtId="168" formatCode="_-* #,##0.000000_-;\-* #,##0.000000_-;_-* &quot;-&quot;??_-;_-@_-"/>
    <numFmt numFmtId="169" formatCode="0.00000"/>
    <numFmt numFmtId="170" formatCode="0.000%"/>
    <numFmt numFmtId="171" formatCode="#,##0.00000"/>
    <numFmt numFmtId="172" formatCode="&quot;(1 + &quot;#,##0.00000&quot;) x&quot;"/>
    <numFmt numFmtId="173" formatCode="&quot;(1 + &quot;#,##0.00000&quot;)&quot;"/>
    <numFmt numFmtId="174" formatCode="&quot;(1 - &quot;#,##0.00000&quot;)&quot;"/>
    <numFmt numFmtId="175" formatCode="&quot;( &quot;#,##0.00000&quot;) x&quot;"/>
    <numFmt numFmtId="176" formatCode="&quot;( &quot;#,##0.00000&quot;)&quot;"/>
    <numFmt numFmtId="177" formatCode="#,##0.0000"/>
    <numFmt numFmtId="178" formatCode="_(* #,##0.00_);_(* \(#,##0.00\);_(* &quot;-&quot;??_);_(@_)"/>
    <numFmt numFmtId="179" formatCode="&quot;R$ &quot;#,##0.00"/>
    <numFmt numFmtId="180" formatCode="_-* #,##0.00000_-;\-* #,##0.00000_-;_-* &quot;-&quot;??_-;_-@_-"/>
    <numFmt numFmtId="181" formatCode="_-* #,##0.0_-;\-* #,##0.0_-;_-* &quot;-&quot;?_-;_-@_-"/>
    <numFmt numFmtId="182" formatCode="0.0000%"/>
    <numFmt numFmtId="183" formatCode="_-* #,##0.000_-;\-* #,##0.000_-;_-* &quot;-&quot;??_-;_-@_-"/>
    <numFmt numFmtId="184" formatCode="&quot;R$&quot;\ #,##0.000"/>
    <numFmt numFmtId="185" formatCode="_(* #,##0_);_(* \(#,##0\);_(* &quot;-&quot;??_);_(@_)"/>
    <numFmt numFmtId="186" formatCode="&quot;R$&quot;\ #,##0.00"/>
    <numFmt numFmtId="187" formatCode="_-&quot;R$&quot;\ * #,##0.00_-;[Red]\-&quot;R$&quot;\ * #,##0.00_-;_-&quot;R$&quot;\ * &quot;-&quot;??_-;_-@_-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12"/>
      <name val="Calibri"/>
      <family val="2"/>
    </font>
    <font>
      <b/>
      <sz val="10"/>
      <color indexed="12"/>
      <name val="Calibri"/>
      <family val="2"/>
    </font>
    <font>
      <b/>
      <i/>
      <sz val="10"/>
      <name val="Calibri"/>
      <family val="2"/>
    </font>
    <font>
      <sz val="12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 (Corpo)_x0000_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 tint="-0.1499984740745262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7C8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7" fillId="0" borderId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</cellStyleXfs>
  <cellXfs count="81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4" xfId="0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1" xfId="0" quotePrefix="1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4" fontId="3" fillId="0" borderId="0" xfId="2" applyFont="1" applyBorder="1" applyAlignment="1">
      <alignment horizontal="center" vertical="center"/>
    </xf>
    <xf numFmtId="44" fontId="3" fillId="0" borderId="7" xfId="2" applyFont="1" applyBorder="1" applyAlignment="1">
      <alignment horizontal="center" vertical="center"/>
    </xf>
    <xf numFmtId="0" fontId="8" fillId="3" borderId="8" xfId="0" applyFont="1" applyFill="1" applyBorder="1"/>
    <xf numFmtId="0" fontId="8" fillId="3" borderId="9" xfId="0" applyFont="1" applyFill="1" applyBorder="1"/>
    <xf numFmtId="0" fontId="9" fillId="3" borderId="9" xfId="0" applyFont="1" applyFill="1" applyBorder="1" applyAlignment="1">
      <alignment horizontal="right" vertical="center"/>
    </xf>
    <xf numFmtId="44" fontId="9" fillId="3" borderId="10" xfId="0" applyNumberFormat="1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top" wrapText="1"/>
    </xf>
    <xf numFmtId="164" fontId="3" fillId="0" borderId="12" xfId="0" applyNumberFormat="1" applyFont="1" applyBorder="1" applyAlignment="1">
      <alignment horizontal="center" vertical="center"/>
    </xf>
    <xf numFmtId="44" fontId="3" fillId="0" borderId="12" xfId="2" applyFont="1" applyBorder="1" applyAlignment="1">
      <alignment horizontal="center" vertical="center"/>
    </xf>
    <xf numFmtId="44" fontId="3" fillId="0" borderId="13" xfId="2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top" wrapText="1"/>
    </xf>
    <xf numFmtId="164" fontId="3" fillId="0" borderId="9" xfId="0" applyNumberFormat="1" applyFont="1" applyBorder="1" applyAlignment="1">
      <alignment horizontal="center" vertical="center"/>
    </xf>
    <xf numFmtId="44" fontId="3" fillId="0" borderId="9" xfId="2" applyFont="1" applyBorder="1" applyAlignment="1">
      <alignment horizontal="center" vertical="center"/>
    </xf>
    <xf numFmtId="44" fontId="3" fillId="0" borderId="10" xfId="2" applyFont="1" applyBorder="1" applyAlignment="1">
      <alignment horizontal="center" vertical="center"/>
    </xf>
    <xf numFmtId="0" fontId="4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44" fontId="3" fillId="0" borderId="0" xfId="0" applyNumberFormat="1" applyFont="1"/>
    <xf numFmtId="44" fontId="3" fillId="0" borderId="8" xfId="0" applyNumberFormat="1" applyFont="1" applyBorder="1"/>
    <xf numFmtId="0" fontId="3" fillId="0" borderId="1" xfId="0" applyFont="1" applyBorder="1"/>
    <xf numFmtId="0" fontId="3" fillId="0" borderId="14" xfId="0" applyFont="1" applyBorder="1"/>
    <xf numFmtId="166" fontId="3" fillId="0" borderId="3" xfId="1" applyNumberFormat="1" applyFont="1" applyBorder="1" applyAlignment="1">
      <alignment horizontal="center" vertical="center"/>
    </xf>
    <xf numFmtId="166" fontId="3" fillId="0" borderId="12" xfId="1" applyNumberFormat="1" applyFont="1" applyBorder="1" applyAlignment="1">
      <alignment horizontal="center" vertical="center"/>
    </xf>
    <xf numFmtId="167" fontId="3" fillId="0" borderId="12" xfId="1" applyNumberFormat="1" applyFont="1" applyBorder="1" applyAlignment="1">
      <alignment horizontal="center" vertical="center"/>
    </xf>
    <xf numFmtId="168" fontId="3" fillId="0" borderId="12" xfId="1" applyNumberFormat="1" applyFont="1" applyBorder="1" applyAlignment="1">
      <alignment vertical="center"/>
    </xf>
    <xf numFmtId="43" fontId="3" fillId="0" borderId="12" xfId="1" applyFont="1" applyBorder="1" applyAlignment="1">
      <alignment vertical="center"/>
    </xf>
    <xf numFmtId="166" fontId="3" fillId="0" borderId="0" xfId="1" applyNumberFormat="1" applyFont="1" applyBorder="1" applyAlignment="1">
      <alignment horizontal="center" vertical="center"/>
    </xf>
    <xf numFmtId="167" fontId="3" fillId="0" borderId="0" xfId="1" applyNumberFormat="1" applyFont="1" applyBorder="1" applyAlignment="1">
      <alignment horizontal="center" vertical="center"/>
    </xf>
    <xf numFmtId="168" fontId="3" fillId="0" borderId="0" xfId="1" applyNumberFormat="1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168" fontId="3" fillId="0" borderId="0" xfId="1" applyNumberFormat="1" applyFont="1"/>
    <xf numFmtId="166" fontId="3" fillId="0" borderId="9" xfId="1" applyNumberFormat="1" applyFont="1" applyBorder="1" applyAlignment="1">
      <alignment horizontal="center" vertical="center"/>
    </xf>
    <xf numFmtId="167" fontId="3" fillId="0" borderId="9" xfId="1" applyNumberFormat="1" applyFont="1" applyBorder="1" applyAlignment="1">
      <alignment horizontal="center" vertical="center"/>
    </xf>
    <xf numFmtId="168" fontId="3" fillId="0" borderId="9" xfId="1" applyNumberFormat="1" applyFont="1" applyBorder="1" applyAlignment="1">
      <alignment vertical="center"/>
    </xf>
    <xf numFmtId="43" fontId="3" fillId="0" borderId="9" xfId="1" applyFont="1" applyBorder="1" applyAlignment="1">
      <alignment vertical="center"/>
    </xf>
    <xf numFmtId="0" fontId="3" fillId="0" borderId="0" xfId="0" applyFont="1" applyBorder="1"/>
    <xf numFmtId="43" fontId="5" fillId="0" borderId="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164" fontId="3" fillId="0" borderId="4" xfId="0" applyNumberFormat="1" applyFont="1" applyBorder="1" applyAlignment="1">
      <alignment horizontal="center" vertical="center"/>
    </xf>
    <xf numFmtId="44" fontId="3" fillId="0" borderId="4" xfId="2" applyFont="1" applyBorder="1" applyAlignment="1">
      <alignment horizontal="center" vertical="center"/>
    </xf>
    <xf numFmtId="44" fontId="3" fillId="0" borderId="5" xfId="2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2" fillId="0" borderId="0" xfId="5" applyFont="1" applyAlignment="1">
      <alignment horizontal="center"/>
    </xf>
    <xf numFmtId="0" fontId="12" fillId="0" borderId="0" xfId="5" applyFont="1" applyAlignment="1">
      <alignment horizontal="left"/>
    </xf>
    <xf numFmtId="0" fontId="12" fillId="0" borderId="0" xfId="5" applyFont="1"/>
    <xf numFmtId="49" fontId="13" fillId="0" borderId="0" xfId="5" applyNumberFormat="1" applyFont="1" applyAlignment="1">
      <alignment horizontal="center" wrapText="1"/>
    </xf>
    <xf numFmtId="4" fontId="13" fillId="0" borderId="0" xfId="5" applyNumberFormat="1" applyFont="1"/>
    <xf numFmtId="0" fontId="13" fillId="0" borderId="0" xfId="5" applyFont="1"/>
    <xf numFmtId="0" fontId="13" fillId="0" borderId="0" xfId="5" applyFont="1" applyAlignment="1">
      <alignment horizontal="center"/>
    </xf>
    <xf numFmtId="0" fontId="12" fillId="0" borderId="25" xfId="5" applyFont="1" applyBorder="1" applyAlignment="1">
      <alignment horizontal="center"/>
    </xf>
    <xf numFmtId="170" fontId="13" fillId="0" borderId="1" xfId="5" applyNumberFormat="1" applyFont="1" applyBorder="1" applyAlignment="1">
      <alignment horizontal="center"/>
    </xf>
    <xf numFmtId="170" fontId="12" fillId="3" borderId="1" xfId="5" applyNumberFormat="1" applyFont="1" applyFill="1" applyBorder="1" applyAlignment="1">
      <alignment horizontal="center"/>
    </xf>
    <xf numFmtId="170" fontId="12" fillId="0" borderId="28" xfId="5" applyNumberFormat="1" applyFont="1" applyBorder="1" applyAlignment="1">
      <alignment horizontal="center"/>
    </xf>
    <xf numFmtId="170" fontId="12" fillId="0" borderId="31" xfId="5" applyNumberFormat="1" applyFont="1" applyBorder="1" applyAlignment="1">
      <alignment horizontal="center"/>
    </xf>
    <xf numFmtId="170" fontId="12" fillId="0" borderId="32" xfId="5" applyNumberFormat="1" applyFont="1" applyBorder="1" applyAlignment="1">
      <alignment horizontal="center"/>
    </xf>
    <xf numFmtId="170" fontId="12" fillId="0" borderId="34" xfId="5" applyNumberFormat="1" applyFont="1" applyBorder="1" applyAlignment="1">
      <alignment horizontal="center"/>
    </xf>
    <xf numFmtId="170" fontId="13" fillId="0" borderId="32" xfId="5" applyNumberFormat="1" applyFont="1" applyBorder="1" applyAlignment="1">
      <alignment horizontal="center"/>
    </xf>
    <xf numFmtId="171" fontId="13" fillId="0" borderId="31" xfId="5" applyNumberFormat="1" applyFont="1" applyBorder="1" applyAlignment="1">
      <alignment horizontal="center"/>
    </xf>
    <xf numFmtId="170" fontId="14" fillId="0" borderId="1" xfId="5" applyNumberFormat="1" applyFont="1" applyBorder="1" applyAlignment="1">
      <alignment horizontal="center"/>
    </xf>
    <xf numFmtId="170" fontId="15" fillId="3" borderId="1" xfId="5" applyNumberFormat="1" applyFont="1" applyFill="1" applyBorder="1" applyAlignment="1">
      <alignment horizontal="center"/>
    </xf>
    <xf numFmtId="170" fontId="15" fillId="0" borderId="1" xfId="5" applyNumberFormat="1" applyFont="1" applyBorder="1" applyAlignment="1">
      <alignment horizontal="center"/>
    </xf>
    <xf numFmtId="170" fontId="12" fillId="0" borderId="26" xfId="5" applyNumberFormat="1" applyFont="1" applyBorder="1" applyAlignment="1">
      <alignment horizontal="center"/>
    </xf>
    <xf numFmtId="10" fontId="12" fillId="0" borderId="38" xfId="5" applyNumberFormat="1" applyFont="1" applyBorder="1"/>
    <xf numFmtId="0" fontId="13" fillId="0" borderId="1" xfId="5" applyFont="1" applyBorder="1" applyAlignment="1">
      <alignment horizontal="right" vertical="top"/>
    </xf>
    <xf numFmtId="0" fontId="13" fillId="0" borderId="1" xfId="5" applyFont="1" applyBorder="1" applyAlignment="1">
      <alignment horizontal="right"/>
    </xf>
    <xf numFmtId="0" fontId="13" fillId="0" borderId="6" xfId="5" applyFont="1" applyBorder="1"/>
    <xf numFmtId="0" fontId="13" fillId="0" borderId="7" xfId="5" applyFont="1" applyBorder="1"/>
    <xf numFmtId="0" fontId="13" fillId="0" borderId="8" xfId="5" applyFont="1" applyBorder="1"/>
    <xf numFmtId="0" fontId="13" fillId="0" borderId="9" xfId="5" applyFont="1" applyBorder="1"/>
    <xf numFmtId="0" fontId="13" fillId="0" borderId="9" xfId="5" applyFont="1" applyBorder="1" applyAlignment="1">
      <alignment horizontal="center"/>
    </xf>
    <xf numFmtId="0" fontId="13" fillId="0" borderId="10" xfId="5" applyFont="1" applyBorder="1"/>
    <xf numFmtId="0" fontId="13" fillId="0" borderId="19" xfId="5" applyFont="1" applyBorder="1" applyAlignment="1">
      <alignment horizontal="center"/>
    </xf>
    <xf numFmtId="0" fontId="13" fillId="0" borderId="23" xfId="5" applyFont="1" applyBorder="1" applyAlignment="1">
      <alignment horizontal="center"/>
    </xf>
    <xf numFmtId="172" fontId="13" fillId="0" borderId="19" xfId="5" applyNumberFormat="1" applyFont="1" applyBorder="1" applyAlignment="1">
      <alignment horizontal="center"/>
    </xf>
    <xf numFmtId="173" fontId="13" fillId="0" borderId="19" xfId="5" applyNumberFormat="1" applyFont="1" applyBorder="1" applyAlignment="1">
      <alignment horizontal="center"/>
    </xf>
    <xf numFmtId="174" fontId="13" fillId="0" borderId="23" xfId="5" applyNumberFormat="1" applyFont="1" applyBorder="1" applyAlignment="1">
      <alignment horizontal="center"/>
    </xf>
    <xf numFmtId="175" fontId="13" fillId="0" borderId="19" xfId="5" applyNumberFormat="1" applyFont="1" applyBorder="1" applyAlignment="1">
      <alignment horizontal="center"/>
    </xf>
    <xf numFmtId="176" fontId="13" fillId="0" borderId="19" xfId="5" applyNumberFormat="1" applyFont="1" applyBorder="1" applyAlignment="1">
      <alignment horizontal="center"/>
    </xf>
    <xf numFmtId="176" fontId="13" fillId="0" borderId="23" xfId="5" applyNumberFormat="1" applyFont="1" applyBorder="1" applyAlignment="1">
      <alignment horizontal="center"/>
    </xf>
    <xf numFmtId="0" fontId="16" fillId="0" borderId="41" xfId="5" applyFont="1" applyBorder="1" applyAlignment="1">
      <alignment wrapText="1"/>
    </xf>
    <xf numFmtId="0" fontId="16" fillId="0" borderId="42" xfId="5" applyFont="1" applyBorder="1" applyAlignment="1">
      <alignment horizontal="left" wrapText="1"/>
    </xf>
    <xf numFmtId="0" fontId="4" fillId="0" borderId="3" xfId="0" applyFont="1" applyBorder="1"/>
    <xf numFmtId="0" fontId="3" fillId="0" borderId="1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4" borderId="3" xfId="0" applyFont="1" applyFill="1" applyBorder="1"/>
    <xf numFmtId="0" fontId="3" fillId="4" borderId="4" xfId="0" applyFont="1" applyFill="1" applyBorder="1"/>
    <xf numFmtId="0" fontId="3" fillId="4" borderId="5" xfId="0" applyFont="1" applyFill="1" applyBorder="1"/>
    <xf numFmtId="0" fontId="4" fillId="5" borderId="3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4" fillId="5" borderId="2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/>
    </xf>
    <xf numFmtId="0" fontId="18" fillId="6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9" fillId="0" borderId="43" xfId="0" applyFont="1" applyBorder="1"/>
    <xf numFmtId="0" fontId="19" fillId="0" borderId="2" xfId="0" applyFont="1" applyBorder="1"/>
    <xf numFmtId="180" fontId="19" fillId="0" borderId="11" xfId="1" applyNumberFormat="1" applyFont="1" applyFill="1" applyBorder="1"/>
    <xf numFmtId="180" fontId="19" fillId="0" borderId="12" xfId="1" applyNumberFormat="1" applyFont="1" applyFill="1" applyBorder="1"/>
    <xf numFmtId="180" fontId="19" fillId="0" borderId="13" xfId="1" applyNumberFormat="1" applyFont="1" applyFill="1" applyBorder="1"/>
    <xf numFmtId="169" fontId="19" fillId="0" borderId="2" xfId="0" applyNumberFormat="1" applyFont="1" applyBorder="1"/>
    <xf numFmtId="0" fontId="19" fillId="6" borderId="8" xfId="0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81" fontId="3" fillId="0" borderId="1" xfId="0" applyNumberFormat="1" applyFont="1" applyBorder="1"/>
    <xf numFmtId="0" fontId="19" fillId="8" borderId="43" xfId="0" applyFont="1" applyFill="1" applyBorder="1"/>
    <xf numFmtId="169" fontId="19" fillId="8" borderId="43" xfId="0" applyNumberFormat="1" applyFont="1" applyFill="1" applyBorder="1"/>
    <xf numFmtId="180" fontId="19" fillId="8" borderId="6" xfId="1" applyNumberFormat="1" applyFont="1" applyFill="1" applyBorder="1"/>
    <xf numFmtId="180" fontId="19" fillId="8" borderId="0" xfId="1" applyNumberFormat="1" applyFont="1" applyFill="1" applyBorder="1"/>
    <xf numFmtId="180" fontId="19" fillId="8" borderId="7" xfId="1" applyNumberFormat="1" applyFont="1" applyFill="1" applyBorder="1"/>
    <xf numFmtId="0" fontId="19" fillId="0" borderId="11" xfId="0" applyFont="1" applyBorder="1"/>
    <xf numFmtId="10" fontId="19" fillId="0" borderId="13" xfId="3" applyNumberFormat="1" applyFont="1" applyFill="1" applyBorder="1" applyAlignment="1">
      <alignment horizontal="center" vertical="center"/>
    </xf>
    <xf numFmtId="10" fontId="19" fillId="0" borderId="0" xfId="3" applyNumberFormat="1" applyFont="1" applyFill="1" applyBorder="1" applyAlignment="1">
      <alignment horizontal="center" vertical="center"/>
    </xf>
    <xf numFmtId="17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9" fontId="19" fillId="0" borderId="12" xfId="0" applyNumberFormat="1" applyFont="1" applyBorder="1" applyAlignment="1">
      <alignment horizontal="center" vertical="center"/>
    </xf>
    <xf numFmtId="10" fontId="19" fillId="0" borderId="12" xfId="0" applyNumberFormat="1" applyFont="1" applyBorder="1" applyAlignment="1">
      <alignment horizontal="center" vertical="center"/>
    </xf>
    <xf numFmtId="10" fontId="19" fillId="0" borderId="13" xfId="0" applyNumberFormat="1" applyFont="1" applyBorder="1" applyAlignment="1">
      <alignment horizontal="center" vertical="center"/>
    </xf>
    <xf numFmtId="169" fontId="19" fillId="0" borderId="43" xfId="0" applyNumberFormat="1" applyFont="1" applyBorder="1"/>
    <xf numFmtId="180" fontId="19" fillId="0" borderId="6" xfId="1" applyNumberFormat="1" applyFont="1" applyFill="1" applyBorder="1"/>
    <xf numFmtId="180" fontId="19" fillId="0" borderId="0" xfId="1" applyNumberFormat="1" applyFont="1" applyFill="1" applyBorder="1"/>
    <xf numFmtId="180" fontId="19" fillId="0" borderId="7" xfId="1" applyNumberFormat="1" applyFont="1" applyFill="1" applyBorder="1"/>
    <xf numFmtId="0" fontId="19" fillId="0" borderId="6" xfId="0" applyFont="1" applyBorder="1"/>
    <xf numFmtId="10" fontId="19" fillId="0" borderId="7" xfId="3" applyNumberFormat="1" applyFont="1" applyFill="1" applyBorder="1" applyAlignment="1">
      <alignment horizontal="center" vertical="center"/>
    </xf>
    <xf numFmtId="17" fontId="19" fillId="0" borderId="43" xfId="0" applyNumberFormat="1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9" fontId="19" fillId="0" borderId="0" xfId="0" applyNumberFormat="1" applyFont="1" applyAlignment="1">
      <alignment horizontal="center" vertical="center"/>
    </xf>
    <xf numFmtId="10" fontId="19" fillId="0" borderId="0" xfId="0" applyNumberFormat="1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5" fontId="3" fillId="0" borderId="44" xfId="0" applyNumberFormat="1" applyFont="1" applyBorder="1" applyAlignment="1">
      <alignment horizontal="center" vertical="center"/>
    </xf>
    <xf numFmtId="2" fontId="19" fillId="0" borderId="44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66" fontId="3" fillId="0" borderId="44" xfId="1" applyNumberFormat="1" applyFont="1" applyFill="1" applyBorder="1" applyAlignment="1">
      <alignment horizontal="center" vertical="center"/>
    </xf>
    <xf numFmtId="181" fontId="3" fillId="0" borderId="44" xfId="0" applyNumberFormat="1" applyFont="1" applyBorder="1"/>
    <xf numFmtId="0" fontId="19" fillId="0" borderId="14" xfId="0" applyFont="1" applyBorder="1"/>
    <xf numFmtId="169" fontId="19" fillId="0" borderId="14" xfId="0" applyNumberFormat="1" applyFont="1" applyBorder="1"/>
    <xf numFmtId="180" fontId="19" fillId="0" borderId="8" xfId="1" applyNumberFormat="1" applyFont="1" applyFill="1" applyBorder="1"/>
    <xf numFmtId="180" fontId="19" fillId="0" borderId="9" xfId="1" applyNumberFormat="1" applyFont="1" applyFill="1" applyBorder="1"/>
    <xf numFmtId="180" fontId="19" fillId="0" borderId="10" xfId="1" applyNumberFormat="1" applyFont="1" applyFill="1" applyBorder="1"/>
    <xf numFmtId="0" fontId="19" fillId="0" borderId="8" xfId="0" applyFont="1" applyBorder="1"/>
    <xf numFmtId="10" fontId="19" fillId="0" borderId="10" xfId="3" applyNumberFormat="1" applyFont="1" applyFill="1" applyBorder="1" applyAlignment="1">
      <alignment horizontal="center" vertical="center"/>
    </xf>
    <xf numFmtId="10" fontId="19" fillId="0" borderId="7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165" fontId="3" fillId="0" borderId="43" xfId="0" applyNumberFormat="1" applyFont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center"/>
    </xf>
    <xf numFmtId="181" fontId="3" fillId="0" borderId="2" xfId="0" applyNumberFormat="1" applyFont="1" applyBorder="1"/>
    <xf numFmtId="165" fontId="3" fillId="0" borderId="14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6" fontId="3" fillId="0" borderId="14" xfId="1" applyNumberFormat="1" applyFont="1" applyFill="1" applyBorder="1" applyAlignment="1">
      <alignment horizontal="center" vertical="center"/>
    </xf>
    <xf numFmtId="181" fontId="3" fillId="0" borderId="14" xfId="0" applyNumberFormat="1" applyFont="1" applyBorder="1"/>
    <xf numFmtId="0" fontId="19" fillId="0" borderId="1" xfId="0" applyFont="1" applyBorder="1" applyAlignment="1">
      <alignment horizontal="center" vertical="center"/>
    </xf>
    <xf numFmtId="17" fontId="18" fillId="9" borderId="43" xfId="0" applyNumberFormat="1" applyFont="1" applyFill="1" applyBorder="1" applyAlignment="1">
      <alignment horizontal="center" vertical="center"/>
    </xf>
    <xf numFmtId="0" fontId="18" fillId="9" borderId="43" xfId="0" applyFont="1" applyFill="1" applyBorder="1" applyAlignment="1">
      <alignment horizontal="center" vertical="center"/>
    </xf>
    <xf numFmtId="9" fontId="18" fillId="9" borderId="0" xfId="0" applyNumberFormat="1" applyFont="1" applyFill="1" applyAlignment="1">
      <alignment horizontal="center" vertical="center"/>
    </xf>
    <xf numFmtId="10" fontId="18" fillId="9" borderId="0" xfId="0" applyNumberFormat="1" applyFont="1" applyFill="1" applyAlignment="1">
      <alignment horizontal="center" vertical="center"/>
    </xf>
    <xf numFmtId="10" fontId="18" fillId="9" borderId="7" xfId="0" applyNumberFormat="1" applyFont="1" applyFill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165" fontId="3" fillId="0" borderId="45" xfId="0" applyNumberFormat="1" applyFont="1" applyBorder="1" applyAlignment="1">
      <alignment horizontal="center" vertical="center"/>
    </xf>
    <xf numFmtId="17" fontId="19" fillId="0" borderId="14" xfId="0" applyNumberFormat="1" applyFont="1" applyBorder="1" applyAlignment="1">
      <alignment horizontal="center" vertical="center"/>
    </xf>
    <xf numFmtId="9" fontId="19" fillId="0" borderId="9" xfId="0" applyNumberFormat="1" applyFont="1" applyBorder="1" applyAlignment="1">
      <alignment horizontal="center" vertical="center"/>
    </xf>
    <xf numFmtId="10" fontId="19" fillId="0" borderId="9" xfId="0" applyNumberFormat="1" applyFont="1" applyBorder="1" applyAlignment="1">
      <alignment horizontal="center" vertical="center"/>
    </xf>
    <xf numFmtId="10" fontId="19" fillId="0" borderId="10" xfId="0" applyNumberFormat="1" applyFont="1" applyBorder="1" applyAlignment="1">
      <alignment horizontal="center" vertical="center"/>
    </xf>
    <xf numFmtId="0" fontId="19" fillId="0" borderId="0" xfId="0" applyFont="1"/>
    <xf numFmtId="165" fontId="3" fillId="0" borderId="46" xfId="0" applyNumberFormat="1" applyFont="1" applyBorder="1" applyAlignment="1">
      <alignment horizontal="center" vertical="center"/>
    </xf>
    <xf numFmtId="2" fontId="19" fillId="0" borderId="43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66" fontId="3" fillId="0" borderId="43" xfId="1" applyNumberFormat="1" applyFont="1" applyFill="1" applyBorder="1" applyAlignment="1">
      <alignment horizontal="center" vertical="center"/>
    </xf>
    <xf numFmtId="181" fontId="3" fillId="0" borderId="43" xfId="0" applyNumberFormat="1" applyFont="1" applyBorder="1"/>
    <xf numFmtId="44" fontId="3" fillId="0" borderId="0" xfId="2" applyFont="1"/>
    <xf numFmtId="0" fontId="4" fillId="5" borderId="11" xfId="0" applyFont="1" applyFill="1" applyBorder="1"/>
    <xf numFmtId="0" fontId="3" fillId="5" borderId="12" xfId="0" applyFont="1" applyFill="1" applyBorder="1"/>
    <xf numFmtId="166" fontId="4" fillId="9" borderId="1" xfId="1" applyNumberFormat="1" applyFont="1" applyFill="1" applyBorder="1" applyAlignment="1">
      <alignment horizontal="center" vertical="center"/>
    </xf>
    <xf numFmtId="0" fontId="0" fillId="5" borderId="6" xfId="0" applyFill="1" applyBorder="1"/>
    <xf numFmtId="0" fontId="3" fillId="5" borderId="0" xfId="0" applyFont="1" applyFill="1"/>
    <xf numFmtId="0" fontId="4" fillId="5" borderId="0" xfId="0" applyFont="1" applyFill="1" applyAlignment="1">
      <alignment horizontal="right"/>
    </xf>
    <xf numFmtId="180" fontId="3" fillId="9" borderId="1" xfId="1" applyNumberFormat="1" applyFont="1" applyFill="1" applyBorder="1"/>
    <xf numFmtId="0" fontId="3" fillId="5" borderId="1" xfId="0" applyFont="1" applyFill="1" applyBorder="1"/>
    <xf numFmtId="0" fontId="0" fillId="5" borderId="8" xfId="0" applyFill="1" applyBorder="1"/>
    <xf numFmtId="0" fontId="3" fillId="5" borderId="9" xfId="0" applyFont="1" applyFill="1" applyBorder="1"/>
    <xf numFmtId="0" fontId="4" fillId="4" borderId="1" xfId="0" applyFont="1" applyFill="1" applyBorder="1" applyAlignment="1">
      <alignment horizontal="right"/>
    </xf>
    <xf numFmtId="44" fontId="4" fillId="9" borderId="1" xfId="2" applyFont="1" applyFill="1" applyBorder="1"/>
    <xf numFmtId="0" fontId="4" fillId="4" borderId="1" xfId="0" applyFont="1" applyFill="1" applyBorder="1" applyAlignment="1">
      <alignment horizontal="center" vertical="center"/>
    </xf>
    <xf numFmtId="0" fontId="3" fillId="0" borderId="3" xfId="0" applyFont="1" applyBorder="1"/>
    <xf numFmtId="166" fontId="3" fillId="0" borderId="1" xfId="1" applyNumberFormat="1" applyFont="1" applyBorder="1" applyAlignment="1">
      <alignment horizontal="center" vertical="center"/>
    </xf>
    <xf numFmtId="0" fontId="4" fillId="4" borderId="11" xfId="0" applyFont="1" applyFill="1" applyBorder="1"/>
    <xf numFmtId="0" fontId="3" fillId="4" borderId="12" xfId="0" applyFont="1" applyFill="1" applyBorder="1"/>
    <xf numFmtId="166" fontId="4" fillId="0" borderId="1" xfId="1" applyNumberFormat="1" applyFont="1" applyBorder="1" applyAlignment="1">
      <alignment horizontal="center" vertical="center"/>
    </xf>
    <xf numFmtId="0" fontId="0" fillId="4" borderId="6" xfId="0" applyFill="1" applyBorder="1"/>
    <xf numFmtId="0" fontId="3" fillId="4" borderId="0" xfId="0" applyFont="1" applyFill="1"/>
    <xf numFmtId="0" fontId="3" fillId="4" borderId="1" xfId="0" applyFont="1" applyFill="1" applyBorder="1"/>
    <xf numFmtId="0" fontId="0" fillId="4" borderId="8" xfId="0" applyFill="1" applyBorder="1"/>
    <xf numFmtId="0" fontId="3" fillId="4" borderId="9" xfId="0" applyFont="1" applyFill="1" applyBorder="1"/>
    <xf numFmtId="44" fontId="4" fillId="0" borderId="1" xfId="2" applyFont="1" applyBorder="1"/>
    <xf numFmtId="10" fontId="3" fillId="0" borderId="0" xfId="3" applyNumberFormat="1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9" borderId="11" xfId="0" applyFont="1" applyFill="1" applyBorder="1"/>
    <xf numFmtId="0" fontId="3" fillId="9" borderId="12" xfId="0" applyFont="1" applyFill="1" applyBorder="1"/>
    <xf numFmtId="10" fontId="3" fillId="9" borderId="1" xfId="3" applyNumberFormat="1" applyFont="1" applyFill="1" applyBorder="1" applyAlignment="1">
      <alignment horizontal="center" vertical="center"/>
    </xf>
    <xf numFmtId="166" fontId="3" fillId="9" borderId="14" xfId="1" applyNumberFormat="1" applyFont="1" applyFill="1" applyBorder="1" applyAlignment="1">
      <alignment horizontal="center" vertical="center"/>
    </xf>
    <xf numFmtId="0" fontId="3" fillId="9" borderId="3" xfId="0" applyFont="1" applyFill="1" applyBorder="1"/>
    <xf numFmtId="0" fontId="3" fillId="9" borderId="4" xfId="0" applyFont="1" applyFill="1" applyBorder="1"/>
    <xf numFmtId="166" fontId="3" fillId="9" borderId="1" xfId="1" applyNumberFormat="1" applyFont="1" applyFill="1" applyBorder="1" applyAlignment="1">
      <alignment horizontal="center" vertical="center"/>
    </xf>
    <xf numFmtId="10" fontId="4" fillId="9" borderId="1" xfId="0" applyNumberFormat="1" applyFont="1" applyFill="1" applyBorder="1" applyAlignment="1">
      <alignment horizontal="center" vertical="center"/>
    </xf>
    <xf numFmtId="10" fontId="3" fillId="4" borderId="0" xfId="3" applyNumberFormat="1" applyFont="1" applyFill="1" applyBorder="1" applyAlignment="1">
      <alignment horizontal="center" vertical="center"/>
    </xf>
    <xf numFmtId="10" fontId="3" fillId="4" borderId="9" xfId="3" applyNumberFormat="1" applyFont="1" applyFill="1" applyBorder="1" applyAlignment="1">
      <alignment horizontal="center" vertical="center"/>
    </xf>
    <xf numFmtId="166" fontId="3" fillId="0" borderId="0" xfId="0" applyNumberFormat="1" applyFont="1"/>
    <xf numFmtId="0" fontId="9" fillId="4" borderId="3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9" fillId="4" borderId="2" xfId="0" applyFont="1" applyFill="1" applyBorder="1" applyAlignment="1">
      <alignment horizontal="left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4" xfId="1" applyNumberFormat="1" applyFont="1" applyBorder="1" applyAlignment="1">
      <alignment horizontal="center" vertical="center"/>
    </xf>
    <xf numFmtId="0" fontId="9" fillId="4" borderId="11" xfId="0" applyFont="1" applyFill="1" applyBorder="1"/>
    <xf numFmtId="0" fontId="8" fillId="4" borderId="12" xfId="0" applyFont="1" applyFill="1" applyBorder="1"/>
    <xf numFmtId="0" fontId="20" fillId="4" borderId="6" xfId="0" applyFont="1" applyFill="1" applyBorder="1"/>
    <xf numFmtId="0" fontId="8" fillId="4" borderId="0" xfId="0" applyFont="1" applyFill="1"/>
    <xf numFmtId="0" fontId="20" fillId="4" borderId="8" xfId="0" applyFont="1" applyFill="1" applyBorder="1"/>
    <xf numFmtId="0" fontId="8" fillId="4" borderId="9" xfId="0" applyFont="1" applyFill="1" applyBorder="1"/>
    <xf numFmtId="0" fontId="9" fillId="4" borderId="1" xfId="0" applyFont="1" applyFill="1" applyBorder="1" applyAlignment="1">
      <alignment horizontal="right"/>
    </xf>
    <xf numFmtId="166" fontId="4" fillId="0" borderId="0" xfId="1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right"/>
    </xf>
    <xf numFmtId="0" fontId="8" fillId="4" borderId="5" xfId="0" applyFont="1" applyFill="1" applyBorder="1" applyAlignment="1">
      <alignment horizontal="center" vertical="center"/>
    </xf>
    <xf numFmtId="0" fontId="3" fillId="9" borderId="8" xfId="0" applyFont="1" applyFill="1" applyBorder="1"/>
    <xf numFmtId="0" fontId="3" fillId="9" borderId="9" xfId="0" applyFont="1" applyFill="1" applyBorder="1"/>
    <xf numFmtId="10" fontId="8" fillId="4" borderId="0" xfId="3" applyNumberFormat="1" applyFont="1" applyFill="1" applyBorder="1" applyAlignment="1">
      <alignment horizontal="center" vertical="center"/>
    </xf>
    <xf numFmtId="10" fontId="8" fillId="4" borderId="9" xfId="3" applyNumberFormat="1" applyFont="1" applyFill="1" applyBorder="1" applyAlignment="1">
      <alignment horizontal="center" vertical="center"/>
    </xf>
    <xf numFmtId="0" fontId="4" fillId="5" borderId="2" xfId="0" applyFont="1" applyFill="1" applyBorder="1"/>
    <xf numFmtId="166" fontId="3" fillId="0" borderId="13" xfId="0" applyNumberFormat="1" applyFont="1" applyBorder="1"/>
    <xf numFmtId="166" fontId="8" fillId="4" borderId="11" xfId="1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right"/>
    </xf>
    <xf numFmtId="44" fontId="3" fillId="0" borderId="1" xfId="0" applyNumberFormat="1" applyFont="1" applyBorder="1"/>
    <xf numFmtId="44" fontId="21" fillId="0" borderId="0" xfId="0" applyNumberFormat="1" applyFont="1"/>
    <xf numFmtId="0" fontId="5" fillId="0" borderId="11" xfId="0" applyFont="1" applyBorder="1"/>
    <xf numFmtId="0" fontId="5" fillId="0" borderId="13" xfId="0" applyFont="1" applyBorder="1"/>
    <xf numFmtId="44" fontId="3" fillId="0" borderId="2" xfId="0" applyNumberFormat="1" applyFont="1" applyBorder="1"/>
    <xf numFmtId="0" fontId="4" fillId="5" borderId="43" xfId="0" applyFont="1" applyFill="1" applyBorder="1"/>
    <xf numFmtId="166" fontId="3" fillId="0" borderId="5" xfId="0" applyNumberFormat="1" applyFont="1" applyBorder="1"/>
    <xf numFmtId="166" fontId="8" fillId="4" borderId="6" xfId="1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right"/>
    </xf>
    <xf numFmtId="0" fontId="3" fillId="5" borderId="3" xfId="0" applyFont="1" applyFill="1" applyBorder="1"/>
    <xf numFmtId="0" fontId="3" fillId="5" borderId="4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10" xfId="0" applyFont="1" applyBorder="1"/>
    <xf numFmtId="44" fontId="3" fillId="0" borderId="14" xfId="0" applyNumberFormat="1" applyFont="1" applyBorder="1"/>
    <xf numFmtId="0" fontId="4" fillId="5" borderId="14" xfId="0" applyFont="1" applyFill="1" applyBorder="1"/>
    <xf numFmtId="166" fontId="4" fillId="0" borderId="10" xfId="0" applyNumberFormat="1" applyFont="1" applyBorder="1"/>
    <xf numFmtId="44" fontId="4" fillId="0" borderId="1" xfId="0" applyNumberFormat="1" applyFont="1" applyBorder="1"/>
    <xf numFmtId="0" fontId="6" fillId="0" borderId="3" xfId="0" applyFont="1" applyBorder="1"/>
    <xf numFmtId="0" fontId="6" fillId="0" borderId="5" xfId="0" applyFont="1" applyBorder="1"/>
    <xf numFmtId="166" fontId="8" fillId="4" borderId="8" xfId="1" applyNumberFormat="1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/>
    </xf>
    <xf numFmtId="10" fontId="4" fillId="0" borderId="1" xfId="3" applyNumberFormat="1" applyFont="1" applyBorder="1"/>
    <xf numFmtId="10" fontId="3" fillId="0" borderId="0" xfId="3" applyNumberFormat="1" applyFont="1" applyFill="1" applyBorder="1"/>
    <xf numFmtId="166" fontId="4" fillId="0" borderId="0" xfId="0" applyNumberFormat="1" applyFont="1"/>
    <xf numFmtId="0" fontId="8" fillId="4" borderId="11" xfId="0" applyFont="1" applyFill="1" applyBorder="1"/>
    <xf numFmtId="166" fontId="8" fillId="4" borderId="12" xfId="1" applyNumberFormat="1" applyFont="1" applyFill="1" applyBorder="1" applyAlignment="1">
      <alignment horizontal="center" vertical="center"/>
    </xf>
    <xf numFmtId="0" fontId="8" fillId="4" borderId="6" xfId="0" applyFont="1" applyFill="1" applyBorder="1"/>
    <xf numFmtId="166" fontId="8" fillId="4" borderId="0" xfId="1" applyNumberFormat="1" applyFont="1" applyFill="1" applyBorder="1" applyAlignment="1">
      <alignment horizontal="center" vertical="center"/>
    </xf>
    <xf numFmtId="44" fontId="3" fillId="0" borderId="5" xfId="0" applyNumberFormat="1" applyFont="1" applyBorder="1"/>
    <xf numFmtId="0" fontId="8" fillId="4" borderId="8" xfId="0" applyFont="1" applyFill="1" applyBorder="1"/>
    <xf numFmtId="44" fontId="4" fillId="0" borderId="5" xfId="0" applyNumberFormat="1" applyFont="1" applyBorder="1"/>
    <xf numFmtId="43" fontId="22" fillId="0" borderId="11" xfId="1" applyFont="1" applyBorder="1"/>
    <xf numFmtId="0" fontId="22" fillId="0" borderId="13" xfId="0" applyFont="1" applyBorder="1"/>
    <xf numFmtId="43" fontId="3" fillId="0" borderId="0" xfId="1" applyFont="1"/>
    <xf numFmtId="43" fontId="22" fillId="0" borderId="6" xfId="1" applyFont="1" applyBorder="1"/>
    <xf numFmtId="0" fontId="22" fillId="0" borderId="7" xfId="0" applyFont="1" applyBorder="1"/>
    <xf numFmtId="0" fontId="3" fillId="5" borderId="11" xfId="0" applyFont="1" applyFill="1" applyBorder="1"/>
    <xf numFmtId="166" fontId="8" fillId="5" borderId="12" xfId="1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right"/>
    </xf>
    <xf numFmtId="43" fontId="22" fillId="0" borderId="6" xfId="0" applyNumberFormat="1" applyFont="1" applyBorder="1"/>
    <xf numFmtId="0" fontId="3" fillId="5" borderId="6" xfId="0" applyFont="1" applyFill="1" applyBorder="1"/>
    <xf numFmtId="166" fontId="8" fillId="5" borderId="0" xfId="1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right"/>
    </xf>
    <xf numFmtId="10" fontId="22" fillId="0" borderId="8" xfId="3" applyNumberFormat="1" applyFont="1" applyBorder="1"/>
    <xf numFmtId="0" fontId="22" fillId="0" borderId="10" xfId="0" applyFont="1" applyBorder="1"/>
    <xf numFmtId="0" fontId="3" fillId="5" borderId="8" xfId="0" applyFont="1" applyFill="1" applyBorder="1"/>
    <xf numFmtId="166" fontId="8" fillId="5" borderId="9" xfId="1" applyNumberFormat="1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right"/>
    </xf>
    <xf numFmtId="43" fontId="4" fillId="0" borderId="5" xfId="1" applyFont="1" applyBorder="1"/>
    <xf numFmtId="166" fontId="3" fillId="0" borderId="5" xfId="1" applyNumberFormat="1" applyFont="1" applyBorder="1"/>
    <xf numFmtId="10" fontId="4" fillId="0" borderId="5" xfId="3" applyNumberFormat="1" applyFont="1" applyBorder="1"/>
    <xf numFmtId="43" fontId="3" fillId="0" borderId="14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6" fontId="3" fillId="0" borderId="14" xfId="1" applyNumberFormat="1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166" fontId="3" fillId="0" borderId="0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4" fontId="3" fillId="0" borderId="7" xfId="2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4" fillId="5" borderId="4" xfId="0" applyFont="1" applyFill="1" applyBorder="1"/>
    <xf numFmtId="0" fontId="4" fillId="5" borderId="5" xfId="0" applyFont="1" applyFill="1" applyBorder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1" xfId="0" applyFont="1" applyBorder="1"/>
    <xf numFmtId="0" fontId="3" fillId="0" borderId="2" xfId="0" applyFont="1" applyBorder="1"/>
    <xf numFmtId="43" fontId="3" fillId="0" borderId="12" xfId="1" applyFont="1" applyBorder="1"/>
    <xf numFmtId="43" fontId="3" fillId="0" borderId="2" xfId="1" applyFont="1" applyBorder="1"/>
    <xf numFmtId="0" fontId="3" fillId="0" borderId="43" xfId="0" applyFont="1" applyBorder="1"/>
    <xf numFmtId="43" fontId="3" fillId="0" borderId="0" xfId="1" applyFont="1" applyBorder="1"/>
    <xf numFmtId="43" fontId="3" fillId="0" borderId="43" xfId="1" applyFont="1" applyBorder="1"/>
    <xf numFmtId="43" fontId="3" fillId="0" borderId="43" xfId="0" applyNumberFormat="1" applyFont="1" applyBorder="1"/>
    <xf numFmtId="43" fontId="3" fillId="0" borderId="14" xfId="1" applyFont="1" applyBorder="1"/>
    <xf numFmtId="43" fontId="4" fillId="0" borderId="14" xfId="0" applyNumberFormat="1" applyFont="1" applyBorder="1"/>
    <xf numFmtId="0" fontId="4" fillId="0" borderId="0" xfId="0" applyFont="1" applyBorder="1" applyAlignment="1">
      <alignment horizontal="left" vertical="center"/>
    </xf>
    <xf numFmtId="43" fontId="4" fillId="0" borderId="0" xfId="0" applyNumberFormat="1" applyFont="1" applyBorder="1"/>
    <xf numFmtId="0" fontId="3" fillId="0" borderId="9" xfId="0" applyFont="1" applyBorder="1"/>
    <xf numFmtId="0" fontId="3" fillId="0" borderId="7" xfId="0" applyFont="1" applyBorder="1"/>
    <xf numFmtId="43" fontId="3" fillId="0" borderId="43" xfId="1" applyFont="1" applyFill="1" applyBorder="1"/>
    <xf numFmtId="0" fontId="3" fillId="5" borderId="10" xfId="0" applyFont="1" applyFill="1" applyBorder="1"/>
    <xf numFmtId="43" fontId="3" fillId="0" borderId="0" xfId="0" applyNumberFormat="1" applyFont="1"/>
    <xf numFmtId="43" fontId="3" fillId="0" borderId="0" xfId="0" applyNumberFormat="1" applyFont="1" applyBorder="1"/>
    <xf numFmtId="10" fontId="3" fillId="0" borderId="0" xfId="3" applyNumberFormat="1" applyFont="1"/>
    <xf numFmtId="0" fontId="3" fillId="0" borderId="0" xfId="0" applyFont="1" applyAlignment="1">
      <alignment horizontal="center" vertical="center" wrapText="1"/>
    </xf>
    <xf numFmtId="43" fontId="3" fillId="0" borderId="9" xfId="0" applyNumberFormat="1" applyFont="1" applyBorder="1"/>
    <xf numFmtId="0" fontId="5" fillId="0" borderId="0" xfId="0" applyFont="1"/>
    <xf numFmtId="0" fontId="3" fillId="0" borderId="4" xfId="0" applyFont="1" applyBorder="1" applyAlignment="1">
      <alignment horizontal="left" vertical="center" wrapText="1"/>
    </xf>
    <xf numFmtId="167" fontId="3" fillId="0" borderId="4" xfId="1" applyNumberFormat="1" applyFont="1" applyBorder="1" applyAlignment="1">
      <alignment horizontal="center" vertical="center"/>
    </xf>
    <xf numFmtId="44" fontId="3" fillId="0" borderId="4" xfId="2" applyFont="1" applyBorder="1" applyAlignment="1">
      <alignment vertical="center"/>
    </xf>
    <xf numFmtId="0" fontId="7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/>
    </xf>
    <xf numFmtId="0" fontId="6" fillId="0" borderId="0" xfId="0" applyFont="1"/>
    <xf numFmtId="0" fontId="23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43" fontId="5" fillId="0" borderId="2" xfId="0" applyNumberFormat="1" applyFont="1" applyBorder="1"/>
    <xf numFmtId="43" fontId="24" fillId="0" borderId="0" xfId="0" applyNumberFormat="1" applyFont="1" applyAlignment="1">
      <alignment horizontal="center" vertical="center" wrapText="1"/>
    </xf>
    <xf numFmtId="43" fontId="5" fillId="0" borderId="43" xfId="0" applyNumberFormat="1" applyFont="1" applyBorder="1"/>
    <xf numFmtId="43" fontId="5" fillId="0" borderId="0" xfId="0" applyNumberFormat="1" applyFont="1"/>
    <xf numFmtId="0" fontId="5" fillId="0" borderId="43" xfId="0" applyFont="1" applyBorder="1"/>
    <xf numFmtId="43" fontId="24" fillId="0" borderId="0" xfId="1" applyFont="1"/>
    <xf numFmtId="43" fontId="24" fillId="0" borderId="0" xfId="0" applyNumberFormat="1" applyFont="1"/>
    <xf numFmtId="0" fontId="5" fillId="0" borderId="14" xfId="0" applyFont="1" applyBorder="1"/>
    <xf numFmtId="43" fontId="5" fillId="0" borderId="14" xfId="0" applyNumberFormat="1" applyFont="1" applyBorder="1"/>
    <xf numFmtId="43" fontId="5" fillId="0" borderId="9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4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6" fillId="0" borderId="11" xfId="0" applyFont="1" applyBorder="1"/>
    <xf numFmtId="166" fontId="5" fillId="0" borderId="2" xfId="1" applyNumberFormat="1" applyFont="1" applyBorder="1"/>
    <xf numFmtId="166" fontId="5" fillId="0" borderId="1" xfId="1" applyNumberFormat="1" applyFont="1" applyBorder="1"/>
    <xf numFmtId="43" fontId="5" fillId="0" borderId="1" xfId="0" applyNumberFormat="1" applyFont="1" applyBorder="1"/>
    <xf numFmtId="166" fontId="5" fillId="0" borderId="0" xfId="0" applyNumberFormat="1" applyFont="1"/>
    <xf numFmtId="0" fontId="6" fillId="0" borderId="2" xfId="0" applyFont="1" applyBorder="1"/>
    <xf numFmtId="166" fontId="5" fillId="0" borderId="2" xfId="0" applyNumberFormat="1" applyFont="1" applyBorder="1"/>
    <xf numFmtId="166" fontId="5" fillId="0" borderId="1" xfId="0" applyNumberFormat="1" applyFont="1" applyBorder="1"/>
    <xf numFmtId="166" fontId="5" fillId="0" borderId="1" xfId="1" applyNumberFormat="1" applyFont="1" applyBorder="1" applyAlignment="1">
      <alignment horizontal="center" vertical="center"/>
    </xf>
    <xf numFmtId="44" fontId="5" fillId="0" borderId="1" xfId="2" applyFont="1" applyBorder="1" applyAlignment="1">
      <alignment horizontal="center" vertical="center"/>
    </xf>
    <xf numFmtId="0" fontId="5" fillId="0" borderId="3" xfId="0" applyFont="1" applyBorder="1"/>
    <xf numFmtId="0" fontId="5" fillId="0" borderId="5" xfId="0" applyFont="1" applyBorder="1"/>
    <xf numFmtId="43" fontId="5" fillId="0" borderId="1" xfId="1" applyFont="1" applyBorder="1"/>
    <xf numFmtId="44" fontId="5" fillId="0" borderId="1" xfId="0" applyNumberFormat="1" applyFont="1" applyBorder="1"/>
    <xf numFmtId="44" fontId="5" fillId="0" borderId="1" xfId="2" applyFont="1" applyBorder="1"/>
    <xf numFmtId="44" fontId="24" fillId="0" borderId="0" xfId="0" applyNumberFormat="1" applyFont="1"/>
    <xf numFmtId="166" fontId="5" fillId="0" borderId="0" xfId="1" applyNumberFormat="1" applyFont="1" applyBorder="1"/>
    <xf numFmtId="10" fontId="5" fillId="0" borderId="1" xfId="0" applyNumberFormat="1" applyFont="1" applyBorder="1"/>
    <xf numFmtId="166" fontId="6" fillId="0" borderId="0" xfId="0" applyNumberFormat="1" applyFont="1" applyAlignment="1">
      <alignment horizontal="center" wrapText="1"/>
    </xf>
    <xf numFmtId="182" fontId="5" fillId="0" borderId="1" xfId="3" applyNumberFormat="1" applyFont="1" applyBorder="1"/>
    <xf numFmtId="0" fontId="6" fillId="0" borderId="0" xfId="0" applyFont="1" applyAlignment="1">
      <alignment horizontal="left" vertical="center"/>
    </xf>
    <xf numFmtId="166" fontId="5" fillId="11" borderId="1" xfId="1" applyNumberFormat="1" applyFont="1" applyFill="1" applyBorder="1"/>
    <xf numFmtId="166" fontId="5" fillId="11" borderId="1" xfId="0" applyNumberFormat="1" applyFont="1" applyFill="1" applyBorder="1"/>
    <xf numFmtId="166" fontId="6" fillId="0" borderId="1" xfId="0" applyNumberFormat="1" applyFont="1" applyBorder="1"/>
    <xf numFmtId="0" fontId="6" fillId="0" borderId="8" xfId="0" applyFont="1" applyBorder="1"/>
    <xf numFmtId="44" fontId="6" fillId="0" borderId="10" xfId="0" applyNumberFormat="1" applyFont="1" applyBorder="1"/>
    <xf numFmtId="44" fontId="6" fillId="0" borderId="1" xfId="2" applyFont="1" applyBorder="1"/>
    <xf numFmtId="0" fontId="5" fillId="0" borderId="6" xfId="0" applyFont="1" applyBorder="1"/>
    <xf numFmtId="183" fontId="5" fillId="0" borderId="43" xfId="0" applyNumberFormat="1" applyFont="1" applyBorder="1"/>
    <xf numFmtId="43" fontId="24" fillId="0" borderId="0" xfId="0" applyNumberFormat="1" applyFont="1" applyBorder="1" applyAlignment="1">
      <alignment horizontal="center" vertical="center" wrapText="1"/>
    </xf>
    <xf numFmtId="43" fontId="24" fillId="0" borderId="0" xfId="1" applyFont="1" applyBorder="1" applyAlignment="1">
      <alignment horizontal="center" vertical="center" wrapText="1"/>
    </xf>
    <xf numFmtId="43" fontId="4" fillId="0" borderId="0" xfId="0" applyNumberFormat="1" applyFont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84" fontId="28" fillId="0" borderId="0" xfId="0" applyNumberFormat="1" applyFont="1" applyAlignment="1">
      <alignment horizontal="center"/>
    </xf>
    <xf numFmtId="43" fontId="3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43" fontId="3" fillId="0" borderId="0" xfId="0" applyNumberFormat="1" applyFont="1" applyFill="1" applyBorder="1"/>
    <xf numFmtId="184" fontId="3" fillId="0" borderId="11" xfId="0" applyNumberFormat="1" applyFont="1" applyBorder="1"/>
    <xf numFmtId="44" fontId="3" fillId="0" borderId="13" xfId="2" applyFont="1" applyBorder="1"/>
    <xf numFmtId="184" fontId="3" fillId="0" borderId="6" xfId="0" applyNumberFormat="1" applyFont="1" applyBorder="1"/>
    <xf numFmtId="44" fontId="3" fillId="0" borderId="7" xfId="2" applyFont="1" applyBorder="1"/>
    <xf numFmtId="184" fontId="3" fillId="0" borderId="8" xfId="0" applyNumberFormat="1" applyFont="1" applyBorder="1"/>
    <xf numFmtId="44" fontId="3" fillId="0" borderId="10" xfId="2" applyFont="1" applyBorder="1"/>
    <xf numFmtId="0" fontId="3" fillId="0" borderId="0" xfId="0" applyFont="1" applyAlignment="1">
      <alignment horizontal="left"/>
    </xf>
    <xf numFmtId="185" fontId="3" fillId="0" borderId="0" xfId="0" applyNumberFormat="1" applyFont="1" applyAlignment="1">
      <alignment horizontal="center" vertical="center"/>
    </xf>
    <xf numFmtId="186" fontId="4" fillId="0" borderId="0" xfId="0" applyNumberFormat="1" applyFont="1" applyAlignment="1">
      <alignment horizontal="right"/>
    </xf>
    <xf numFmtId="186" fontId="3" fillId="0" borderId="0" xfId="1" applyNumberFormat="1" applyFont="1" applyBorder="1" applyAlignment="1">
      <alignment horizontal="center" vertical="center"/>
    </xf>
    <xf numFmtId="184" fontId="3" fillId="0" borderId="0" xfId="0" applyNumberFormat="1" applyFont="1"/>
    <xf numFmtId="0" fontId="4" fillId="0" borderId="6" xfId="0" applyFont="1" applyBorder="1" applyAlignment="1">
      <alignment horizontal="right" vertical="center"/>
    </xf>
    <xf numFmtId="10" fontId="27" fillId="0" borderId="0" xfId="3" applyNumberFormat="1" applyFont="1"/>
    <xf numFmtId="186" fontId="3" fillId="0" borderId="0" xfId="0" applyNumberFormat="1" applyFont="1"/>
    <xf numFmtId="185" fontId="3" fillId="0" borderId="0" xfId="0" applyNumberFormat="1" applyFont="1"/>
    <xf numFmtId="0" fontId="4" fillId="0" borderId="0" xfId="0" applyFont="1" applyFill="1" applyBorder="1" applyAlignment="1"/>
    <xf numFmtId="0" fontId="3" fillId="0" borderId="14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 vertical="center"/>
    </xf>
    <xf numFmtId="185" fontId="3" fillId="0" borderId="0" xfId="0" applyNumberFormat="1" applyFont="1" applyBorder="1" applyAlignment="1">
      <alignment horizontal="center" vertical="center"/>
    </xf>
    <xf numFmtId="44" fontId="3" fillId="0" borderId="0" xfId="2" applyFont="1" applyBorder="1" applyAlignment="1">
      <alignment horizontal="center"/>
    </xf>
    <xf numFmtId="165" fontId="3" fillId="0" borderId="12" xfId="0" applyNumberFormat="1" applyFont="1" applyBorder="1" applyAlignment="1">
      <alignment horizontal="center" vertical="center"/>
    </xf>
    <xf numFmtId="44" fontId="3" fillId="0" borderId="12" xfId="2" applyFont="1" applyBorder="1" applyAlignment="1">
      <alignment horizontal="center"/>
    </xf>
    <xf numFmtId="165" fontId="3" fillId="0" borderId="9" xfId="0" applyNumberFormat="1" applyFont="1" applyBorder="1" applyAlignment="1">
      <alignment horizontal="center" vertical="center"/>
    </xf>
    <xf numFmtId="185" fontId="3" fillId="0" borderId="9" xfId="0" applyNumberFormat="1" applyFont="1" applyBorder="1" applyAlignment="1">
      <alignment horizontal="center" vertical="center"/>
    </xf>
    <xf numFmtId="44" fontId="3" fillId="0" borderId="9" xfId="2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4" xfId="0" applyFont="1" applyFill="1" applyBorder="1" applyAlignment="1">
      <alignment horizontal="center" vertical="center" wrapText="1"/>
    </xf>
    <xf numFmtId="185" fontId="4" fillId="0" borderId="14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185" fontId="4" fillId="0" borderId="43" xfId="0" applyNumberFormat="1" applyFont="1" applyFill="1" applyBorder="1" applyAlignment="1">
      <alignment horizontal="center" vertical="center" wrapText="1"/>
    </xf>
    <xf numFmtId="185" fontId="3" fillId="0" borderId="13" xfId="0" applyNumberFormat="1" applyFont="1" applyBorder="1" applyAlignment="1">
      <alignment horizontal="left" vertical="top"/>
    </xf>
    <xf numFmtId="185" fontId="3" fillId="0" borderId="7" xfId="0" applyNumberFormat="1" applyFont="1" applyBorder="1" applyAlignment="1">
      <alignment horizontal="left" vertical="top"/>
    </xf>
    <xf numFmtId="185" fontId="4" fillId="0" borderId="7" xfId="0" applyNumberFormat="1" applyFont="1" applyBorder="1" applyAlignment="1">
      <alignment horizontal="left" vertical="top"/>
    </xf>
    <xf numFmtId="0" fontId="3" fillId="0" borderId="6" xfId="0" applyFont="1" applyBorder="1" applyAlignment="1">
      <alignment horizontal="right"/>
    </xf>
    <xf numFmtId="185" fontId="3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/>
    </xf>
    <xf numFmtId="185" fontId="4" fillId="0" borderId="10" xfId="0" applyNumberFormat="1" applyFont="1" applyBorder="1" applyAlignment="1">
      <alignment horizontal="left" vertical="top"/>
    </xf>
    <xf numFmtId="44" fontId="30" fillId="0" borderId="7" xfId="2" applyFont="1" applyBorder="1"/>
    <xf numFmtId="187" fontId="4" fillId="0" borderId="7" xfId="2" applyNumberFormat="1" applyFont="1" applyBorder="1" applyAlignment="1">
      <alignment horizontal="center" vertical="center"/>
    </xf>
    <xf numFmtId="187" fontId="4" fillId="0" borderId="13" xfId="2" applyNumberFormat="1" applyFont="1" applyBorder="1" applyAlignment="1">
      <alignment horizontal="center" vertical="center"/>
    </xf>
    <xf numFmtId="187" fontId="4" fillId="0" borderId="10" xfId="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44" fontId="3" fillId="0" borderId="0" xfId="0" applyNumberFormat="1" applyFont="1" applyBorder="1"/>
    <xf numFmtId="44" fontId="4" fillId="0" borderId="0" xfId="0" applyNumberFormat="1" applyFont="1" applyBorder="1"/>
    <xf numFmtId="10" fontId="4" fillId="0" borderId="0" xfId="3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85" fontId="4" fillId="0" borderId="10" xfId="0" applyNumberFormat="1" applyFont="1" applyFill="1" applyBorder="1" applyAlignment="1">
      <alignment horizontal="center" vertical="center" wrapText="1"/>
    </xf>
    <xf numFmtId="185" fontId="4" fillId="0" borderId="3" xfId="0" applyNumberFormat="1" applyFont="1" applyFill="1" applyBorder="1" applyAlignment="1">
      <alignment horizontal="center" vertical="center"/>
    </xf>
    <xf numFmtId="185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85" fontId="4" fillId="0" borderId="7" xfId="0" applyNumberFormat="1" applyFont="1" applyFill="1" applyBorder="1" applyAlignment="1">
      <alignment horizontal="center" vertical="center" wrapText="1"/>
    </xf>
    <xf numFmtId="186" fontId="4" fillId="0" borderId="13" xfId="0" applyNumberFormat="1" applyFont="1" applyBorder="1" applyAlignment="1">
      <alignment horizontal="right"/>
    </xf>
    <xf numFmtId="186" fontId="4" fillId="0" borderId="7" xfId="0" applyNumberFormat="1" applyFont="1" applyBorder="1" applyAlignment="1">
      <alignment horizontal="right"/>
    </xf>
    <xf numFmtId="0" fontId="4" fillId="0" borderId="7" xfId="0" applyFont="1" applyBorder="1" applyAlignment="1">
      <alignment horizontal="right" vertical="center"/>
    </xf>
    <xf numFmtId="9" fontId="4" fillId="0" borderId="7" xfId="3" applyFont="1" applyBorder="1" applyAlignment="1">
      <alignment horizontal="right" vertical="center"/>
    </xf>
    <xf numFmtId="185" fontId="4" fillId="0" borderId="5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0" fontId="3" fillId="0" borderId="1" xfId="3" applyNumberFormat="1" applyFont="1" applyBorder="1" applyAlignment="1">
      <alignment horizontal="center" vertical="center"/>
    </xf>
    <xf numFmtId="10" fontId="3" fillId="0" borderId="5" xfId="3" applyNumberFormat="1" applyFont="1" applyBorder="1" applyAlignment="1">
      <alignment horizontal="center" vertical="center"/>
    </xf>
    <xf numFmtId="185" fontId="3" fillId="0" borderId="0" xfId="0" applyNumberFormat="1" applyFont="1" applyFill="1" applyBorder="1"/>
    <xf numFmtId="184" fontId="29" fillId="0" borderId="12" xfId="0" applyNumberFormat="1" applyFont="1" applyBorder="1" applyAlignment="1">
      <alignment horizontal="right" vertical="center"/>
    </xf>
    <xf numFmtId="184" fontId="29" fillId="0" borderId="9" xfId="0" applyNumberFormat="1" applyFont="1" applyBorder="1" applyAlignment="1">
      <alignment horizontal="right" vertical="center"/>
    </xf>
    <xf numFmtId="44" fontId="4" fillId="0" borderId="2" xfId="0" applyNumberFormat="1" applyFont="1" applyBorder="1"/>
    <xf numFmtId="10" fontId="4" fillId="0" borderId="14" xfId="3" applyNumberFormat="1" applyFont="1" applyBorder="1"/>
    <xf numFmtId="44" fontId="3" fillId="0" borderId="2" xfId="0" applyNumberFormat="1" applyFont="1" applyBorder="1" applyAlignment="1">
      <alignment vertical="center"/>
    </xf>
    <xf numFmtId="44" fontId="3" fillId="0" borderId="14" xfId="0" applyNumberFormat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12" xfId="0" applyFont="1" applyBorder="1" applyAlignment="1">
      <alignment horizontal="right"/>
    </xf>
    <xf numFmtId="43" fontId="3" fillId="0" borderId="2" xfId="1" applyFont="1" applyBorder="1" applyAlignment="1">
      <alignment vertical="center"/>
    </xf>
    <xf numFmtId="166" fontId="3" fillId="0" borderId="2" xfId="1" applyNumberFormat="1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166" fontId="3" fillId="0" borderId="14" xfId="1" applyNumberFormat="1" applyFont="1" applyBorder="1" applyAlignment="1">
      <alignment vertical="center"/>
    </xf>
    <xf numFmtId="0" fontId="4" fillId="11" borderId="0" xfId="0" applyFont="1" applyFill="1"/>
    <xf numFmtId="0" fontId="4" fillId="11" borderId="0" xfId="0" applyFont="1" applyFill="1" applyBorder="1"/>
    <xf numFmtId="43" fontId="4" fillId="11" borderId="0" xfId="0" applyNumberFormat="1" applyFont="1" applyFill="1" applyBorder="1"/>
    <xf numFmtId="0" fontId="3" fillId="11" borderId="0" xfId="0" applyFont="1" applyFill="1" applyBorder="1"/>
    <xf numFmtId="165" fontId="3" fillId="11" borderId="0" xfId="0" applyNumberFormat="1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0" xfId="0" applyFont="1" applyFill="1"/>
    <xf numFmtId="0" fontId="3" fillId="11" borderId="3" xfId="0" applyFont="1" applyFill="1" applyBorder="1"/>
    <xf numFmtId="0" fontId="4" fillId="11" borderId="5" xfId="0" applyFont="1" applyFill="1" applyBorder="1" applyAlignment="1">
      <alignment horizontal="right"/>
    </xf>
    <xf numFmtId="0" fontId="3" fillId="11" borderId="4" xfId="0" applyFont="1" applyFill="1" applyBorder="1" applyAlignment="1">
      <alignment horizontal="left"/>
    </xf>
    <xf numFmtId="185" fontId="3" fillId="11" borderId="4" xfId="0" applyNumberFormat="1" applyFont="1" applyFill="1" applyBorder="1" applyAlignment="1">
      <alignment horizontal="center" vertical="center"/>
    </xf>
    <xf numFmtId="186" fontId="4" fillId="11" borderId="5" xfId="0" applyNumberFormat="1" applyFont="1" applyFill="1" applyBorder="1" applyAlignment="1">
      <alignment horizontal="right"/>
    </xf>
    <xf numFmtId="0" fontId="3" fillId="11" borderId="11" xfId="0" applyFont="1" applyFill="1" applyBorder="1"/>
    <xf numFmtId="0" fontId="3" fillId="11" borderId="6" xfId="0" applyFont="1" applyFill="1" applyBorder="1"/>
    <xf numFmtId="0" fontId="3" fillId="11" borderId="8" xfId="0" applyFont="1" applyFill="1" applyBorder="1"/>
    <xf numFmtId="44" fontId="3" fillId="0" borderId="5" xfId="2" applyFont="1" applyBorder="1"/>
    <xf numFmtId="187" fontId="4" fillId="0" borderId="5" xfId="0" applyNumberFormat="1" applyFont="1" applyBorder="1"/>
    <xf numFmtId="0" fontId="3" fillId="11" borderId="5" xfId="0" applyFont="1" applyFill="1" applyBorder="1"/>
    <xf numFmtId="187" fontId="3" fillId="0" borderId="1" xfId="0" applyNumberFormat="1" applyFont="1" applyBorder="1"/>
    <xf numFmtId="187" fontId="4" fillId="0" borderId="1" xfId="0" applyNumberFormat="1" applyFont="1" applyBorder="1"/>
    <xf numFmtId="187" fontId="3" fillId="0" borderId="5" xfId="0" applyNumberFormat="1" applyFont="1" applyBorder="1"/>
    <xf numFmtId="0" fontId="4" fillId="0" borderId="3" xfId="0" applyFont="1" applyFill="1" applyBorder="1" applyAlignment="1"/>
    <xf numFmtId="0" fontId="4" fillId="11" borderId="1" xfId="0" applyFont="1" applyFill="1" applyBorder="1" applyAlignment="1">
      <alignment horizontal="center" vertical="center"/>
    </xf>
    <xf numFmtId="0" fontId="3" fillId="11" borderId="4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9" fillId="0" borderId="4" xfId="0" applyFont="1" applyFill="1" applyBorder="1" applyAlignment="1">
      <alignment horizontal="right" vertical="center"/>
    </xf>
    <xf numFmtId="44" fontId="9" fillId="0" borderId="1" xfId="0" applyNumberFormat="1" applyFont="1" applyFill="1" applyBorder="1"/>
    <xf numFmtId="0" fontId="3" fillId="5" borderId="0" xfId="0" applyFont="1" applyFill="1" applyBorder="1"/>
    <xf numFmtId="44" fontId="4" fillId="0" borderId="4" xfId="2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right"/>
    </xf>
    <xf numFmtId="10" fontId="4" fillId="0" borderId="12" xfId="0" applyNumberFormat="1" applyFont="1" applyBorder="1" applyAlignment="1">
      <alignment horizontal="center" vertical="center"/>
    </xf>
    <xf numFmtId="0" fontId="32" fillId="0" borderId="0" xfId="0" applyFont="1"/>
    <xf numFmtId="44" fontId="3" fillId="0" borderId="0" xfId="2" applyFont="1" applyBorder="1" applyAlignment="1">
      <alignment vertical="center"/>
    </xf>
    <xf numFmtId="44" fontId="4" fillId="0" borderId="0" xfId="2" applyFont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4" fontId="3" fillId="5" borderId="4" xfId="0" applyNumberFormat="1" applyFont="1" applyFill="1" applyBorder="1"/>
    <xf numFmtId="44" fontId="3" fillId="0" borderId="4" xfId="2" applyFont="1" applyBorder="1"/>
    <xf numFmtId="44" fontId="26" fillId="0" borderId="0" xfId="0" applyNumberFormat="1" applyFont="1"/>
    <xf numFmtId="0" fontId="4" fillId="0" borderId="1" xfId="0" applyFont="1" applyBorder="1"/>
    <xf numFmtId="0" fontId="3" fillId="0" borderId="1" xfId="0" applyFont="1" applyBorder="1" applyAlignment="1">
      <alignment wrapText="1"/>
    </xf>
    <xf numFmtId="10" fontId="3" fillId="0" borderId="1" xfId="0" applyNumberFormat="1" applyFont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10" fontId="3" fillId="11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right"/>
    </xf>
    <xf numFmtId="0" fontId="1" fillId="0" borderId="0" xfId="0" applyFont="1"/>
    <xf numFmtId="0" fontId="6" fillId="12" borderId="3" xfId="0" applyFont="1" applyFill="1" applyBorder="1"/>
    <xf numFmtId="0" fontId="1" fillId="12" borderId="4" xfId="0" applyFont="1" applyFill="1" applyBorder="1"/>
    <xf numFmtId="0" fontId="1" fillId="12" borderId="5" xfId="0" applyFont="1" applyFill="1" applyBorder="1"/>
    <xf numFmtId="0" fontId="6" fillId="12" borderId="4" xfId="0" applyFont="1" applyFill="1" applyBorder="1"/>
    <xf numFmtId="0" fontId="6" fillId="12" borderId="5" xfId="0" applyFont="1" applyFill="1" applyBorder="1"/>
    <xf numFmtId="0" fontId="1" fillId="0" borderId="11" xfId="0" applyFont="1" applyBorder="1"/>
    <xf numFmtId="0" fontId="1" fillId="0" borderId="12" xfId="0" applyFont="1" applyBorder="1"/>
    <xf numFmtId="43" fontId="1" fillId="0" borderId="2" xfId="1" applyFont="1" applyBorder="1" applyAlignment="1">
      <alignment horizontal="center"/>
    </xf>
    <xf numFmtId="0" fontId="1" fillId="0" borderId="6" xfId="0" applyFont="1" applyBorder="1"/>
    <xf numFmtId="43" fontId="1" fillId="0" borderId="43" xfId="1" applyFont="1" applyBorder="1" applyAlignment="1">
      <alignment horizontal="center"/>
    </xf>
    <xf numFmtId="0" fontId="6" fillId="0" borderId="9" xfId="0" applyFont="1" applyBorder="1"/>
    <xf numFmtId="166" fontId="6" fillId="0" borderId="14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13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43" fontId="6" fillId="0" borderId="3" xfId="0" applyNumberFormat="1" applyFont="1" applyBorder="1"/>
    <xf numFmtId="0" fontId="1" fillId="0" borderId="3" xfId="0" applyFont="1" applyBorder="1"/>
    <xf numFmtId="0" fontId="6" fillId="0" borderId="4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43" fontId="1" fillId="0" borderId="0" xfId="0" applyNumberFormat="1" applyFont="1"/>
    <xf numFmtId="0" fontId="6" fillId="0" borderId="0" xfId="0" applyFont="1" applyAlignment="1">
      <alignment horizontal="center" vertical="center"/>
    </xf>
    <xf numFmtId="0" fontId="1" fillId="5" borderId="11" xfId="0" applyFont="1" applyFill="1" applyBorder="1"/>
    <xf numFmtId="0" fontId="1" fillId="5" borderId="12" xfId="0" applyFont="1" applyFill="1" applyBorder="1"/>
    <xf numFmtId="166" fontId="1" fillId="0" borderId="1" xfId="0" applyNumberFormat="1" applyFont="1" applyBorder="1"/>
    <xf numFmtId="0" fontId="1" fillId="5" borderId="6" xfId="0" applyFont="1" applyFill="1" applyBorder="1"/>
    <xf numFmtId="0" fontId="1" fillId="5" borderId="0" xfId="0" applyFont="1" applyFill="1"/>
    <xf numFmtId="0" fontId="1" fillId="5" borderId="8" xfId="0" applyFont="1" applyFill="1" applyBorder="1"/>
    <xf numFmtId="0" fontId="1" fillId="5" borderId="9" xfId="0" applyFont="1" applyFill="1" applyBorder="1"/>
    <xf numFmtId="10" fontId="6" fillId="0" borderId="1" xfId="3" applyNumberFormat="1" applyFont="1" applyBorder="1"/>
    <xf numFmtId="44" fontId="1" fillId="0" borderId="1" xfId="0" applyNumberFormat="1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0" fontId="33" fillId="4" borderId="9" xfId="0" applyFont="1" applyFill="1" applyBorder="1"/>
    <xf numFmtId="43" fontId="1" fillId="0" borderId="0" xfId="1" applyFont="1"/>
    <xf numFmtId="43" fontId="1" fillId="0" borderId="6" xfId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8" fontId="5" fillId="0" borderId="1" xfId="2" applyNumberFormat="1" applyFont="1" applyBorder="1"/>
    <xf numFmtId="10" fontId="3" fillId="0" borderId="1" xfId="0" applyNumberFormat="1" applyFont="1" applyBorder="1"/>
    <xf numFmtId="182" fontId="3" fillId="0" borderId="1" xfId="3" applyNumberFormat="1" applyFont="1" applyBorder="1"/>
    <xf numFmtId="0" fontId="4" fillId="11" borderId="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8" xfId="0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44" fontId="3" fillId="0" borderId="14" xfId="2" applyFont="1" applyFill="1" applyBorder="1" applyAlignment="1">
      <alignment horizontal="center" vertical="center"/>
    </xf>
    <xf numFmtId="184" fontId="28" fillId="11" borderId="0" xfId="0" applyNumberFormat="1" applyFont="1" applyFill="1" applyAlignment="1">
      <alignment horizontal="center"/>
    </xf>
    <xf numFmtId="166" fontId="3" fillId="11" borderId="0" xfId="1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44" fontId="4" fillId="0" borderId="0" xfId="0" applyNumberFormat="1" applyFont="1" applyBorder="1" applyAlignment="1">
      <alignment vertical="center"/>
    </xf>
    <xf numFmtId="10" fontId="4" fillId="0" borderId="10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44" fontId="4" fillId="0" borderId="14" xfId="0" applyNumberFormat="1" applyFont="1" applyBorder="1"/>
    <xf numFmtId="10" fontId="4" fillId="0" borderId="14" xfId="3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/>
    </xf>
    <xf numFmtId="43" fontId="4" fillId="0" borderId="5" xfId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0" fontId="4" fillId="0" borderId="14" xfId="0" applyFont="1" applyBorder="1" applyAlignment="1">
      <alignment horizontal="right"/>
    </xf>
    <xf numFmtId="0" fontId="3" fillId="0" borderId="0" xfId="0" quotePrefix="1" applyFont="1"/>
    <xf numFmtId="44" fontId="4" fillId="0" borderId="10" xfId="2" applyFont="1" applyBorder="1" applyAlignment="1">
      <alignment horizontal="center" vertical="center"/>
    </xf>
    <xf numFmtId="0" fontId="4" fillId="11" borderId="13" xfId="0" applyFont="1" applyFill="1" applyBorder="1" applyAlignment="1">
      <alignment horizontal="right"/>
    </xf>
    <xf numFmtId="0" fontId="4" fillId="11" borderId="7" xfId="0" applyFont="1" applyFill="1" applyBorder="1" applyAlignment="1">
      <alignment horizontal="right"/>
    </xf>
    <xf numFmtId="0" fontId="4" fillId="11" borderId="10" xfId="0" applyFont="1" applyFill="1" applyBorder="1" applyAlignment="1">
      <alignment horizontal="right"/>
    </xf>
    <xf numFmtId="44" fontId="19" fillId="0" borderId="0" xfId="2" applyFont="1" applyFill="1" applyBorder="1" applyAlignment="1">
      <alignment horizontal="center" vertical="center"/>
    </xf>
    <xf numFmtId="44" fontId="4" fillId="9" borderId="0" xfId="2" applyFont="1" applyFill="1" applyBorder="1"/>
    <xf numFmtId="0" fontId="3" fillId="0" borderId="0" xfId="0" applyFont="1" applyFill="1"/>
    <xf numFmtId="0" fontId="18" fillId="0" borderId="0" xfId="0" applyFont="1" applyFill="1" applyBorder="1" applyAlignment="1">
      <alignment horizontal="center" vertical="center"/>
    </xf>
    <xf numFmtId="17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44" fontId="3" fillId="0" borderId="0" xfId="2" applyFont="1" applyFill="1"/>
    <xf numFmtId="43" fontId="22" fillId="0" borderId="0" xfId="1" applyFont="1" applyBorder="1"/>
    <xf numFmtId="0" fontId="22" fillId="0" borderId="0" xfId="0" applyFont="1" applyBorder="1"/>
    <xf numFmtId="10" fontId="22" fillId="0" borderId="0" xfId="3" applyNumberFormat="1" applyFont="1" applyBorder="1"/>
    <xf numFmtId="0" fontId="5" fillId="0" borderId="3" xfId="0" applyFont="1" applyBorder="1" applyAlignment="1">
      <alignment horizontal="center" vertical="center" wrapText="1"/>
    </xf>
    <xf numFmtId="43" fontId="5" fillId="0" borderId="6" xfId="0" applyNumberFormat="1" applyFont="1" applyBorder="1"/>
    <xf numFmtId="183" fontId="5" fillId="0" borderId="6" xfId="0" applyNumberFormat="1" applyFont="1" applyBorder="1"/>
    <xf numFmtId="43" fontId="5" fillId="0" borderId="8" xfId="0" applyNumberFormat="1" applyFont="1" applyBorder="1"/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3" fontId="5" fillId="0" borderId="0" xfId="0" applyNumberFormat="1" applyFont="1" applyBorder="1"/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11" borderId="4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13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2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2" fillId="0" borderId="27" xfId="5" applyFont="1" applyBorder="1" applyAlignment="1">
      <alignment horizontal="center" vertical="center"/>
    </xf>
    <xf numFmtId="0" fontId="12" fillId="0" borderId="33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13" fillId="0" borderId="16" xfId="5" applyFont="1" applyBorder="1" applyAlignment="1">
      <alignment horizontal="center"/>
    </xf>
    <xf numFmtId="0" fontId="13" fillId="0" borderId="17" xfId="5" applyFont="1" applyBorder="1" applyAlignment="1">
      <alignment horizontal="center"/>
    </xf>
    <xf numFmtId="0" fontId="12" fillId="0" borderId="22" xfId="5" applyFont="1" applyBorder="1" applyAlignment="1">
      <alignment horizontal="center"/>
    </xf>
    <xf numFmtId="0" fontId="12" fillId="0" borderId="23" xfId="5" applyFont="1" applyBorder="1" applyAlignment="1">
      <alignment horizontal="center"/>
    </xf>
    <xf numFmtId="0" fontId="12" fillId="0" borderId="24" xfId="5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7" fillId="2" borderId="3" xfId="4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/>
    </xf>
    <xf numFmtId="0" fontId="12" fillId="0" borderId="16" xfId="5" applyFont="1" applyBorder="1" applyAlignment="1">
      <alignment horizontal="center" vertical="center"/>
    </xf>
    <xf numFmtId="0" fontId="12" fillId="0" borderId="17" xfId="5" applyFont="1" applyBorder="1" applyAlignment="1">
      <alignment horizontal="center" vertical="center"/>
    </xf>
    <xf numFmtId="0" fontId="12" fillId="0" borderId="22" xfId="5" applyFont="1" applyBorder="1" applyAlignment="1">
      <alignment horizontal="center" vertical="center"/>
    </xf>
    <xf numFmtId="0" fontId="12" fillId="0" borderId="23" xfId="5" applyFont="1" applyBorder="1" applyAlignment="1">
      <alignment horizontal="center" vertical="center"/>
    </xf>
    <xf numFmtId="0" fontId="12" fillId="0" borderId="24" xfId="5" applyFont="1" applyBorder="1" applyAlignment="1">
      <alignment horizontal="center" vertical="center"/>
    </xf>
    <xf numFmtId="0" fontId="12" fillId="0" borderId="18" xfId="5" applyFont="1" applyBorder="1" applyAlignment="1">
      <alignment horizontal="center" vertical="center"/>
    </xf>
    <xf numFmtId="0" fontId="12" fillId="0" borderId="19" xfId="5" applyFont="1" applyBorder="1" applyAlignment="1">
      <alignment horizontal="center" vertical="center"/>
    </xf>
    <xf numFmtId="0" fontId="12" fillId="0" borderId="20" xfId="5" applyFont="1" applyBorder="1" applyAlignment="1">
      <alignment horizontal="center" vertical="center"/>
    </xf>
    <xf numFmtId="0" fontId="12" fillId="0" borderId="21" xfId="5" applyFont="1" applyBorder="1" applyAlignment="1">
      <alignment horizontal="center" vertical="center" wrapText="1"/>
    </xf>
    <xf numFmtId="0" fontId="12" fillId="0" borderId="26" xfId="5" applyFont="1" applyBorder="1" applyAlignment="1">
      <alignment horizontal="center" vertical="center" wrapText="1"/>
    </xf>
    <xf numFmtId="0" fontId="12" fillId="0" borderId="29" xfId="5" applyFont="1" applyBorder="1" applyAlignment="1">
      <alignment horizontal="center" vertical="center"/>
    </xf>
    <xf numFmtId="0" fontId="13" fillId="0" borderId="30" xfId="5" applyFont="1" applyBorder="1" applyAlignment="1">
      <alignment horizontal="center"/>
    </xf>
    <xf numFmtId="0" fontId="13" fillId="0" borderId="0" xfId="5" applyFont="1" applyAlignment="1">
      <alignment horizontal="center"/>
    </xf>
    <xf numFmtId="0" fontId="13" fillId="0" borderId="7" xfId="5" applyFont="1" applyBorder="1" applyAlignment="1">
      <alignment horizontal="center"/>
    </xf>
    <xf numFmtId="0" fontId="12" fillId="0" borderId="15" xfId="5" applyFont="1" applyBorder="1" applyAlignment="1">
      <alignment horizontal="center"/>
    </xf>
    <xf numFmtId="0" fontId="12" fillId="0" borderId="16" xfId="5" applyFont="1" applyBorder="1" applyAlignment="1">
      <alignment horizontal="center"/>
    </xf>
    <xf numFmtId="0" fontId="12" fillId="0" borderId="17" xfId="5" applyFont="1" applyBorder="1" applyAlignment="1">
      <alignment horizontal="center"/>
    </xf>
    <xf numFmtId="0" fontId="14" fillId="0" borderId="30" xfId="5" applyFont="1" applyBorder="1" applyAlignment="1">
      <alignment horizontal="center"/>
    </xf>
    <xf numFmtId="0" fontId="14" fillId="0" borderId="0" xfId="5" applyFont="1" applyAlignment="1">
      <alignment horizontal="center"/>
    </xf>
    <xf numFmtId="0" fontId="14" fillId="0" borderId="7" xfId="5" applyFont="1" applyBorder="1" applyAlignment="1">
      <alignment horizontal="center"/>
    </xf>
    <xf numFmtId="0" fontId="12" fillId="0" borderId="35" xfId="5" applyFont="1" applyBorder="1" applyAlignment="1">
      <alignment horizontal="right"/>
    </xf>
    <xf numFmtId="0" fontId="12" fillId="0" borderId="36" xfId="5" applyFont="1" applyBorder="1" applyAlignment="1">
      <alignment horizontal="right"/>
    </xf>
    <xf numFmtId="0" fontId="12" fillId="0" borderId="37" xfId="5" applyFont="1" applyBorder="1" applyAlignment="1">
      <alignment horizontal="right"/>
    </xf>
    <xf numFmtId="0" fontId="12" fillId="0" borderId="3" xfId="5" applyFont="1" applyBorder="1" applyAlignment="1">
      <alignment horizontal="center"/>
    </xf>
    <xf numFmtId="0" fontId="12" fillId="0" borderId="4" xfId="5" applyFont="1" applyBorder="1" applyAlignment="1">
      <alignment horizontal="center"/>
    </xf>
    <xf numFmtId="0" fontId="12" fillId="0" borderId="5" xfId="5" applyFont="1" applyBorder="1" applyAlignment="1">
      <alignment horizontal="center"/>
    </xf>
    <xf numFmtId="0" fontId="13" fillId="0" borderId="3" xfId="5" applyFont="1" applyBorder="1" applyAlignment="1">
      <alignment wrapText="1"/>
    </xf>
    <xf numFmtId="0" fontId="13" fillId="0" borderId="4" xfId="5" applyFont="1" applyBorder="1" applyAlignment="1">
      <alignment wrapText="1"/>
    </xf>
    <xf numFmtId="0" fontId="13" fillId="0" borderId="5" xfId="5" applyFont="1" applyBorder="1" applyAlignment="1">
      <alignment wrapText="1"/>
    </xf>
    <xf numFmtId="0" fontId="13" fillId="0" borderId="11" xfId="5" applyFont="1" applyBorder="1" applyAlignment="1">
      <alignment horizontal="right" vertical="center"/>
    </xf>
    <xf numFmtId="0" fontId="13" fillId="0" borderId="6" xfId="5" applyFont="1" applyBorder="1" applyAlignment="1">
      <alignment horizontal="right" vertical="center"/>
    </xf>
    <xf numFmtId="0" fontId="13" fillId="0" borderId="12" xfId="5" applyFont="1" applyBorder="1" applyAlignment="1">
      <alignment horizontal="center"/>
    </xf>
    <xf numFmtId="0" fontId="13" fillId="0" borderId="13" xfId="5" applyFont="1" applyBorder="1" applyAlignment="1">
      <alignment horizontal="left"/>
    </xf>
    <xf numFmtId="0" fontId="13" fillId="0" borderId="7" xfId="5" applyFont="1" applyBorder="1" applyAlignment="1">
      <alignment horizontal="left"/>
    </xf>
    <xf numFmtId="0" fontId="13" fillId="0" borderId="3" xfId="5" applyFont="1" applyBorder="1"/>
    <xf numFmtId="0" fontId="13" fillId="0" borderId="4" xfId="5" applyFont="1" applyBorder="1"/>
    <xf numFmtId="0" fontId="13" fillId="0" borderId="5" xfId="5" applyFont="1" applyBorder="1"/>
    <xf numFmtId="0" fontId="13" fillId="0" borderId="0" xfId="5" applyFont="1" applyAlignment="1">
      <alignment horizontal="center" vertical="center"/>
    </xf>
    <xf numFmtId="0" fontId="13" fillId="0" borderId="15" xfId="5" applyFont="1" applyBorder="1" applyAlignment="1">
      <alignment horizontal="center" vertical="center"/>
    </xf>
    <xf numFmtId="0" fontId="13" fillId="0" borderId="22" xfId="5" applyFont="1" applyBorder="1" applyAlignment="1">
      <alignment horizontal="center" vertical="center"/>
    </xf>
    <xf numFmtId="49" fontId="13" fillId="0" borderId="39" xfId="5" applyNumberFormat="1" applyFont="1" applyBorder="1" applyAlignment="1">
      <alignment horizontal="center" vertical="center"/>
    </xf>
    <xf numFmtId="49" fontId="13" fillId="0" borderId="40" xfId="5" applyNumberFormat="1" applyFont="1" applyBorder="1" applyAlignment="1">
      <alignment horizontal="center" vertical="center"/>
    </xf>
    <xf numFmtId="10" fontId="15" fillId="0" borderId="39" xfId="5" applyNumberFormat="1" applyFont="1" applyBorder="1" applyAlignment="1">
      <alignment horizontal="left" vertical="center"/>
    </xf>
    <xf numFmtId="10" fontId="15" fillId="0" borderId="40" xfId="5" applyNumberFormat="1" applyFont="1" applyBorder="1" applyAlignment="1">
      <alignment horizontal="left" vertical="center"/>
    </xf>
    <xf numFmtId="0" fontId="16" fillId="0" borderId="16" xfId="5" applyFont="1" applyBorder="1" applyAlignment="1">
      <alignment horizontal="left" vertical="top" wrapText="1"/>
    </xf>
    <xf numFmtId="0" fontId="16" fillId="0" borderId="39" xfId="5" applyFont="1" applyBorder="1" applyAlignment="1">
      <alignment horizontal="left" vertical="top" wrapText="1"/>
    </xf>
    <xf numFmtId="0" fontId="16" fillId="0" borderId="23" xfId="5" applyFont="1" applyBorder="1" applyAlignment="1">
      <alignment horizontal="left" vertical="top" wrapText="1"/>
    </xf>
    <xf numFmtId="0" fontId="16" fillId="0" borderId="40" xfId="5" applyFont="1" applyBorder="1" applyAlignment="1">
      <alignment horizontal="left" vertical="top" wrapText="1"/>
    </xf>
    <xf numFmtId="49" fontId="13" fillId="0" borderId="39" xfId="5" applyNumberFormat="1" applyFont="1" applyBorder="1" applyAlignment="1">
      <alignment horizontal="left" vertical="center"/>
    </xf>
    <xf numFmtId="49" fontId="13" fillId="0" borderId="40" xfId="5" applyNumberFormat="1" applyFont="1" applyBorder="1" applyAlignment="1">
      <alignment horizontal="left" vertical="center"/>
    </xf>
    <xf numFmtId="177" fontId="13" fillId="0" borderId="16" xfId="5" applyNumberFormat="1" applyFont="1" applyBorder="1" applyAlignment="1">
      <alignment horizontal="center" vertical="center"/>
    </xf>
    <xf numFmtId="177" fontId="13" fillId="0" borderId="23" xfId="5" applyNumberFormat="1" applyFont="1" applyBorder="1" applyAlignment="1">
      <alignment horizontal="center" vertical="center"/>
    </xf>
    <xf numFmtId="0" fontId="12" fillId="0" borderId="15" xfId="5" applyFont="1" applyBorder="1" applyAlignment="1">
      <alignment horizontal="right" vertical="center"/>
    </xf>
    <xf numFmtId="0" fontId="12" fillId="0" borderId="22" xfId="5" applyFont="1" applyBorder="1" applyAlignment="1">
      <alignment horizontal="right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9">
    <cellStyle name="Moeda" xfId="2" builtinId="4"/>
    <cellStyle name="Moeda 2 2" xfId="8"/>
    <cellStyle name="Normal" xfId="0" builtinId="0"/>
    <cellStyle name="Normal 11" xfId="4"/>
    <cellStyle name="Normal 2 10" xfId="5"/>
    <cellStyle name="Normal 4 2" xfId="6"/>
    <cellStyle name="Porcentagem" xfId="3" builtinId="5"/>
    <cellStyle name="Separador de milhares" xfId="1" builtinId="3"/>
    <cellStyle name="Vírgula 2 2" xfId="7"/>
  </cellStyles>
  <dxfs count="2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C/ERS%20ENERGY%20CONSULT/TRAB%20RVB%202021/CA/DOCUMENTO%20INTERNO%20DE%20INSTRU&#199;&#195;O%20ANTIGO/2.%20ESTUDO%20T&#201;CNICO%20PRELIMIAR%20FLUXOS%201%20-%20PLANILHAS%20C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 DO PROJETO"/>
      <sheetName val="COMPOSIÇÕES PREÇOS UNIT."/>
      <sheetName val="ECONOMIA DE ENERGIA"/>
      <sheetName val="ATUAL x PROJETADO 115 lm-W"/>
      <sheetName val="ESTUDO FLUXO LUMINOSO RUAS TIPO"/>
      <sheetName val="CRONOGRAMA DE EXECUÇÃO"/>
      <sheetName val="CRONOGRAMA DE OBRA"/>
      <sheetName val="COMPOSIÇÃO DE BDI"/>
      <sheetName val="COMPOSIÇÃO ADM LOCAL"/>
      <sheetName val="COMPOSIÇÃO DE GARANTIA"/>
      <sheetName val="VALOR DE REF. TELEGESTAO"/>
      <sheetName val="VALOR DE INVEST. POR ITEM"/>
    </sheetNames>
    <sheetDataSet>
      <sheetData sheetId="0"/>
      <sheetData sheetId="1"/>
      <sheetData sheetId="2">
        <row r="20">
          <cell r="W20">
            <v>0.61247200000000002</v>
          </cell>
        </row>
        <row r="64">
          <cell r="A64">
            <v>170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Relationship Id="rId4" Type="http://schemas.openxmlformats.org/officeDocument/2006/relationships/oleObject" Target="../embeddings/oleObject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74"/>
  <sheetViews>
    <sheetView showGridLines="0" view="pageBreakPreview" topLeftCell="A25" zoomScale="60" zoomScaleNormal="90" workbookViewId="0">
      <selection activeCell="H48" sqref="H48"/>
    </sheetView>
  </sheetViews>
  <sheetFormatPr defaultColWidth="11" defaultRowHeight="12.75"/>
  <cols>
    <col min="1" max="1" width="2.25" style="3" customWidth="1"/>
    <col min="2" max="2" width="18.375" style="3" customWidth="1"/>
    <col min="3" max="4" width="16.375" style="3" customWidth="1"/>
    <col min="5" max="5" width="2.875" style="3" customWidth="1"/>
    <col min="6" max="7" width="17.25" style="3" customWidth="1"/>
    <col min="8" max="8" width="13.875" style="3" customWidth="1"/>
    <col min="9" max="11" width="17.25" style="3" customWidth="1"/>
    <col min="12" max="13" width="15" style="3" customWidth="1"/>
    <col min="14" max="14" width="2" style="3" customWidth="1"/>
    <col min="15" max="15" width="15.5" style="3" customWidth="1"/>
    <col min="16" max="16" width="17.75" style="3" bestFit="1" customWidth="1"/>
    <col min="17" max="145" width="14.25" style="3" customWidth="1"/>
    <col min="146" max="16384" width="11" style="3"/>
  </cols>
  <sheetData>
    <row r="2" spans="2:15">
      <c r="B2" s="538" t="s">
        <v>504</v>
      </c>
      <c r="C2" s="544"/>
      <c r="D2" s="544"/>
      <c r="F2" s="454" t="s">
        <v>506</v>
      </c>
      <c r="G2" s="454" t="s">
        <v>507</v>
      </c>
      <c r="H2" s="454" t="s">
        <v>508</v>
      </c>
      <c r="I2" s="454" t="s">
        <v>509</v>
      </c>
      <c r="J2" s="454" t="s">
        <v>510</v>
      </c>
      <c r="K2" s="454" t="s">
        <v>511</v>
      </c>
      <c r="L2" s="454" t="s">
        <v>512</v>
      </c>
      <c r="M2" s="454" t="s">
        <v>513</v>
      </c>
      <c r="N2" s="7"/>
    </row>
    <row r="3" spans="2:15">
      <c r="B3" s="683" t="s">
        <v>499</v>
      </c>
      <c r="C3" s="684"/>
      <c r="D3" s="528">
        <f>'2. ECONOMIA DE ENERGIA'!I90</f>
        <v>356859.73929811973</v>
      </c>
      <c r="E3" s="505"/>
      <c r="F3" s="528">
        <f>$D$3</f>
        <v>356859.73929811973</v>
      </c>
      <c r="G3" s="528">
        <f>$D$3</f>
        <v>356859.73929811973</v>
      </c>
      <c r="H3" s="528">
        <f t="shared" ref="H3:M3" si="0">$D$3</f>
        <v>356859.73929811973</v>
      </c>
      <c r="I3" s="528">
        <f t="shared" si="0"/>
        <v>356859.73929811973</v>
      </c>
      <c r="J3" s="528">
        <f t="shared" si="0"/>
        <v>356859.73929811973</v>
      </c>
      <c r="K3" s="528">
        <f t="shared" si="0"/>
        <v>356859.73929811973</v>
      </c>
      <c r="L3" s="528">
        <f t="shared" si="0"/>
        <v>356859.73929811973</v>
      </c>
      <c r="M3" s="528">
        <f t="shared" si="0"/>
        <v>356859.73929811973</v>
      </c>
      <c r="N3" s="505"/>
    </row>
    <row r="4" spans="2:15">
      <c r="B4" s="685" t="s">
        <v>502</v>
      </c>
      <c r="C4" s="686"/>
      <c r="D4" s="529">
        <f>'2. ECONOMIA DE ENERGIA'!I91</f>
        <v>123412.47690885121</v>
      </c>
      <c r="E4" s="505"/>
      <c r="F4" s="529">
        <f>'5. CRONOGRAMA DE EXECUÇÃO'!D66</f>
        <v>356859.73929811968</v>
      </c>
      <c r="G4" s="529">
        <f>'5. CRONOGRAMA DE EXECUÇÃO'!E66</f>
        <v>356859.73929811968</v>
      </c>
      <c r="H4" s="529">
        <f>'5. CRONOGRAMA DE EXECUÇÃO'!F66</f>
        <v>356859.73929811968</v>
      </c>
      <c r="I4" s="529">
        <f>'5. CRONOGRAMA DE EXECUÇÃO'!G66</f>
        <v>315577.46449410048</v>
      </c>
      <c r="J4" s="529">
        <f>'5. CRONOGRAMA DE EXECUÇÃO'!H66</f>
        <v>287186.12404328445</v>
      </c>
      <c r="K4" s="529">
        <f>'5. CRONOGRAMA DE EXECUÇÃO'!I66</f>
        <v>265579.45246199804</v>
      </c>
      <c r="L4" s="529">
        <f>'5. CRONOGRAMA DE EXECUÇÃO'!J66</f>
        <v>248883.95571959805</v>
      </c>
      <c r="M4" s="529">
        <f>'5. CRONOGRAMA DE EXECUÇÃO'!K66</f>
        <v>123412.47690885121</v>
      </c>
      <c r="N4" s="505"/>
    </row>
    <row r="5" spans="2:15">
      <c r="B5" s="687" t="s">
        <v>500</v>
      </c>
      <c r="C5" s="688"/>
      <c r="D5" s="531">
        <f>D3-D4</f>
        <v>233447.26238926852</v>
      </c>
      <c r="E5" s="506"/>
      <c r="F5" s="530">
        <f>F3-F4</f>
        <v>0</v>
      </c>
      <c r="G5" s="530">
        <f>G3-G4</f>
        <v>0</v>
      </c>
      <c r="H5" s="530">
        <f t="shared" ref="H5:M5" si="1">H3-H4</f>
        <v>0</v>
      </c>
      <c r="I5" s="530">
        <f t="shared" si="1"/>
        <v>41282.274804019253</v>
      </c>
      <c r="J5" s="530">
        <f t="shared" si="1"/>
        <v>69673.615254835284</v>
      </c>
      <c r="K5" s="530">
        <f t="shared" si="1"/>
        <v>91280.286836121697</v>
      </c>
      <c r="L5" s="530">
        <f t="shared" si="1"/>
        <v>107975.78357852169</v>
      </c>
      <c r="M5" s="530">
        <f t="shared" si="1"/>
        <v>233447.26238926852</v>
      </c>
      <c r="N5" s="506"/>
    </row>
    <row r="6" spans="2:15">
      <c r="B6" s="687" t="s">
        <v>501</v>
      </c>
      <c r="C6" s="688"/>
      <c r="D6" s="647">
        <f>1-D4/D3</f>
        <v>0.65417091557713447</v>
      </c>
      <c r="E6" s="507"/>
      <c r="F6" s="521">
        <f t="shared" ref="F6:M6" si="2">1-F4/F3</f>
        <v>0</v>
      </c>
      <c r="G6" s="521">
        <f t="shared" si="2"/>
        <v>0</v>
      </c>
      <c r="H6" s="522">
        <f t="shared" si="2"/>
        <v>0</v>
      </c>
      <c r="I6" s="522">
        <f t="shared" si="2"/>
        <v>0.11568207409783526</v>
      </c>
      <c r="J6" s="522">
        <f t="shared" si="2"/>
        <v>0.1952408960222608</v>
      </c>
      <c r="K6" s="522">
        <f t="shared" si="2"/>
        <v>0.2557875736154881</v>
      </c>
      <c r="L6" s="522">
        <f t="shared" si="2"/>
        <v>0.3025720519520948</v>
      </c>
      <c r="M6" s="521">
        <f t="shared" si="2"/>
        <v>0.65417091557713447</v>
      </c>
      <c r="N6" s="507"/>
    </row>
    <row r="7" spans="2:15">
      <c r="C7" s="455"/>
      <c r="D7" s="338"/>
      <c r="E7" s="338"/>
      <c r="F7" s="456"/>
      <c r="G7" s="456"/>
      <c r="H7" s="456"/>
      <c r="I7" s="457"/>
      <c r="J7" s="340"/>
      <c r="K7" s="458"/>
      <c r="N7" s="39"/>
    </row>
    <row r="8" spans="2:15">
      <c r="C8" s="337" t="s">
        <v>222</v>
      </c>
      <c r="D8" s="528">
        <f>F3</f>
        <v>356859.73929811973</v>
      </c>
      <c r="E8" s="338"/>
      <c r="F8" s="538" t="s">
        <v>514</v>
      </c>
      <c r="G8" s="544"/>
      <c r="I8" s="540" t="s">
        <v>609</v>
      </c>
      <c r="J8" s="641"/>
      <c r="K8" s="642"/>
      <c r="N8" s="39"/>
    </row>
    <row r="9" spans="2:15">
      <c r="C9" s="337" t="s">
        <v>226</v>
      </c>
      <c r="D9" s="529">
        <f>F10/G10</f>
        <v>145477.79151304092</v>
      </c>
      <c r="E9" s="338"/>
      <c r="F9" s="528">
        <f>M3*G10</f>
        <v>21411584.357887182</v>
      </c>
      <c r="G9" s="503" t="s">
        <v>505</v>
      </c>
      <c r="I9" s="643" t="s">
        <v>191</v>
      </c>
      <c r="J9" s="645" t="s">
        <v>607</v>
      </c>
      <c r="K9" s="644" t="s">
        <v>608</v>
      </c>
      <c r="N9" s="39"/>
    </row>
    <row r="10" spans="2:15">
      <c r="C10" s="532" t="s">
        <v>231</v>
      </c>
      <c r="D10" s="531">
        <f>D8-D9</f>
        <v>211381.94778507881</v>
      </c>
      <c r="E10" s="338"/>
      <c r="F10" s="529">
        <f>(M4*52)+(SUM(F4:M4))</f>
        <v>8728667.4907824546</v>
      </c>
      <c r="G10" s="477">
        <v>60</v>
      </c>
      <c r="I10" s="639">
        <f>$F$30/100</f>
        <v>3811.5581184000002</v>
      </c>
      <c r="J10" s="639">
        <f t="shared" ref="J10:K10" si="3">$F$30/100</f>
        <v>3811.5581184000002</v>
      </c>
      <c r="K10" s="639">
        <f t="shared" si="3"/>
        <v>3811.5581184000002</v>
      </c>
    </row>
    <row r="11" spans="2:15">
      <c r="C11" s="455"/>
      <c r="D11" s="338"/>
      <c r="E11" s="338"/>
      <c r="F11" s="531">
        <f>F9-F10</f>
        <v>12682916.867104728</v>
      </c>
      <c r="G11" s="648" t="s">
        <v>503</v>
      </c>
      <c r="H11" s="456"/>
      <c r="I11" s="640">
        <v>1.8740000000000001</v>
      </c>
      <c r="J11" s="640">
        <v>3.9710000000000001</v>
      </c>
      <c r="K11" s="640">
        <v>9.4920000000000009</v>
      </c>
    </row>
    <row r="12" spans="2:15">
      <c r="C12" s="455"/>
      <c r="D12" s="338"/>
      <c r="E12" s="338"/>
      <c r="F12" s="506"/>
      <c r="G12" s="504"/>
      <c r="H12" s="456"/>
      <c r="I12" s="531">
        <f>I10*I11</f>
        <v>7142.8599138816007</v>
      </c>
      <c r="J12" s="531">
        <f t="shared" ref="J12:K12" si="4">J10*J11</f>
        <v>15135.697288166401</v>
      </c>
      <c r="K12" s="531">
        <f t="shared" si="4"/>
        <v>36179.309659852806</v>
      </c>
    </row>
    <row r="13" spans="2:15">
      <c r="C13" s="455"/>
      <c r="D13" s="338"/>
      <c r="E13" s="338"/>
      <c r="F13" s="506"/>
      <c r="G13" s="504"/>
      <c r="H13" s="456"/>
      <c r="I13" s="646"/>
      <c r="J13" s="646"/>
      <c r="K13" s="646"/>
    </row>
    <row r="14" spans="2:15">
      <c r="C14" s="452"/>
      <c r="D14" s="339"/>
      <c r="E14" s="339"/>
      <c r="F14" s="459"/>
      <c r="G14" s="459"/>
      <c r="J14" s="7"/>
      <c r="K14" s="451"/>
    </row>
    <row r="15" spans="2:15">
      <c r="B15" s="538" t="s">
        <v>523</v>
      </c>
      <c r="C15" s="542"/>
      <c r="D15" s="543"/>
      <c r="E15" s="339"/>
      <c r="F15" s="454" t="s">
        <v>506</v>
      </c>
      <c r="G15" s="454" t="s">
        <v>507</v>
      </c>
      <c r="H15" s="454" t="s">
        <v>508</v>
      </c>
      <c r="I15" s="454" t="s">
        <v>509</v>
      </c>
      <c r="J15" s="454" t="s">
        <v>510</v>
      </c>
      <c r="K15" s="454" t="s">
        <v>511</v>
      </c>
      <c r="L15" s="454" t="s">
        <v>517</v>
      </c>
      <c r="N15" s="39"/>
      <c r="O15" s="39"/>
    </row>
    <row r="16" spans="2:15">
      <c r="B16" s="355"/>
      <c r="C16" s="533" t="s">
        <v>515</v>
      </c>
      <c r="D16" s="284">
        <f>'2. ECONOMIA DE ENERGIA'!D101</f>
        <v>166507.38833333334</v>
      </c>
      <c r="E16" s="452"/>
      <c r="F16" s="528">
        <f>$D$16</f>
        <v>166507.38833333334</v>
      </c>
      <c r="G16" s="528">
        <f t="shared" ref="G16:L16" si="5">$D$16</f>
        <v>166507.38833333334</v>
      </c>
      <c r="H16" s="528">
        <f t="shared" si="5"/>
        <v>166507.38833333334</v>
      </c>
      <c r="I16" s="528">
        <f t="shared" si="5"/>
        <v>166507.38833333334</v>
      </c>
      <c r="J16" s="528">
        <f t="shared" si="5"/>
        <v>166507.38833333334</v>
      </c>
      <c r="K16" s="528">
        <f t="shared" si="5"/>
        <v>166507.38833333334</v>
      </c>
      <c r="L16" s="528">
        <f t="shared" si="5"/>
        <v>166507.38833333334</v>
      </c>
      <c r="N16" s="39"/>
      <c r="O16" s="39"/>
    </row>
    <row r="17" spans="2:15">
      <c r="B17" s="68"/>
      <c r="C17" s="649" t="s">
        <v>516</v>
      </c>
      <c r="D17" s="293">
        <v>0</v>
      </c>
      <c r="E17" s="452"/>
      <c r="F17" s="529">
        <f>'5. CRONOGRAMA DE EXECUÇÃO'!D46</f>
        <v>166507.38833333334</v>
      </c>
      <c r="G17" s="529">
        <f>'5. CRONOGRAMA DE EXECUÇÃO'!E46</f>
        <v>166507.38833333334</v>
      </c>
      <c r="H17" s="529">
        <f>'5. CRONOGRAMA DE EXECUÇÃO'!F46</f>
        <v>137311.32617615323</v>
      </c>
      <c r="I17" s="529">
        <f>'5. CRONOGRAMA DE EXECUÇÃO'!G46</f>
        <v>108115.26401897312</v>
      </c>
      <c r="J17" s="529">
        <f>'5. CRONOGRAMA DE EXECUÇÃO'!H46</f>
        <v>74427.499991457604</v>
      </c>
      <c r="K17" s="529">
        <f>'5. CRONOGRAMA DE EXECUÇÃO'!I46</f>
        <v>37370.959561190539</v>
      </c>
      <c r="L17" s="529">
        <f>'5. CRONOGRAMA DE EXECUÇÃO'!J46</f>
        <v>0</v>
      </c>
      <c r="N17" s="39"/>
      <c r="O17" s="39"/>
    </row>
    <row r="18" spans="2:15">
      <c r="B18" s="227"/>
      <c r="C18" s="650" t="s">
        <v>500</v>
      </c>
      <c r="D18" s="651">
        <f>D16-D17</f>
        <v>166507.38833333334</v>
      </c>
      <c r="E18" s="452"/>
      <c r="F18" s="530">
        <f>F16-F17</f>
        <v>0</v>
      </c>
      <c r="G18" s="530">
        <f t="shared" ref="G18:L18" si="6">G16-G17</f>
        <v>0</v>
      </c>
      <c r="H18" s="530">
        <f t="shared" si="6"/>
        <v>29196.062157180102</v>
      </c>
      <c r="I18" s="530">
        <f t="shared" si="6"/>
        <v>58392.124314360219</v>
      </c>
      <c r="J18" s="530">
        <f t="shared" si="6"/>
        <v>92079.888341875732</v>
      </c>
      <c r="K18" s="530">
        <f t="shared" si="6"/>
        <v>129136.4287721428</v>
      </c>
      <c r="L18" s="530">
        <f t="shared" si="6"/>
        <v>166507.38833333334</v>
      </c>
      <c r="N18" s="39"/>
      <c r="O18" s="39"/>
    </row>
    <row r="19" spans="2:15">
      <c r="B19" s="227"/>
      <c r="C19" s="650" t="s">
        <v>501</v>
      </c>
      <c r="D19" s="652">
        <f>1-D17/D16</f>
        <v>1</v>
      </c>
      <c r="E19" s="452"/>
      <c r="F19" s="521">
        <f t="shared" ref="F19:L19" si="7">1-F17/F16</f>
        <v>0</v>
      </c>
      <c r="G19" s="521">
        <f t="shared" si="7"/>
        <v>0</v>
      </c>
      <c r="H19" s="521">
        <f t="shared" si="7"/>
        <v>0.1753439438899379</v>
      </c>
      <c r="I19" s="521">
        <f t="shared" si="7"/>
        <v>0.35068788777987592</v>
      </c>
      <c r="J19" s="521">
        <f t="shared" si="7"/>
        <v>0.55300782303749663</v>
      </c>
      <c r="K19" s="521">
        <f t="shared" si="7"/>
        <v>0.77555975182087944</v>
      </c>
      <c r="L19" s="521">
        <f t="shared" si="7"/>
        <v>1</v>
      </c>
      <c r="N19" s="39"/>
      <c r="O19" s="39"/>
    </row>
    <row r="20" spans="2:15">
      <c r="C20" s="452"/>
      <c r="D20" s="452"/>
      <c r="E20" s="452"/>
      <c r="G20" s="452"/>
      <c r="J20" s="8"/>
      <c r="K20" s="8"/>
      <c r="N20" s="39"/>
      <c r="O20" s="39"/>
    </row>
    <row r="21" spans="2:15">
      <c r="C21" s="452"/>
      <c r="D21" s="452"/>
      <c r="E21" s="452"/>
      <c r="F21" s="538" t="s">
        <v>527</v>
      </c>
      <c r="G21" s="544"/>
      <c r="J21" s="8"/>
      <c r="K21" s="8"/>
      <c r="N21" s="39"/>
      <c r="O21" s="39"/>
    </row>
    <row r="22" spans="2:15">
      <c r="C22" s="452"/>
      <c r="D22" s="452"/>
      <c r="E22" s="452"/>
      <c r="F22" s="284">
        <f>L16*G23</f>
        <v>9990443.3000000007</v>
      </c>
      <c r="G22" s="503" t="s">
        <v>505</v>
      </c>
      <c r="I22" s="337" t="s">
        <v>480</v>
      </c>
      <c r="J22" s="528">
        <f>F16</f>
        <v>166507.38833333334</v>
      </c>
      <c r="K22" s="8"/>
      <c r="N22" s="39"/>
      <c r="O22" s="39"/>
    </row>
    <row r="23" spans="2:15">
      <c r="C23" s="453"/>
      <c r="D23" s="453"/>
      <c r="E23" s="453"/>
      <c r="F23" s="293">
        <f>(L17*52)+(SUM(F17:K17))</f>
        <v>690239.82641444111</v>
      </c>
      <c r="G23" s="477">
        <v>60</v>
      </c>
      <c r="H23" s="453"/>
      <c r="I23" s="337" t="s">
        <v>483</v>
      </c>
      <c r="J23" s="529">
        <f>F23/G23</f>
        <v>11503.997106907353</v>
      </c>
      <c r="K23" s="454"/>
      <c r="N23" s="39"/>
    </row>
    <row r="24" spans="2:15">
      <c r="C24" s="339"/>
      <c r="D24" s="339"/>
      <c r="E24" s="339"/>
      <c r="F24" s="531">
        <f>F22-F23</f>
        <v>9300203.4735855591</v>
      </c>
      <c r="G24" s="353" t="s">
        <v>503</v>
      </c>
      <c r="H24" s="456"/>
      <c r="I24" s="532" t="s">
        <v>485</v>
      </c>
      <c r="J24" s="531">
        <f>J22-J23</f>
        <v>155003.39122642597</v>
      </c>
      <c r="K24" s="458"/>
      <c r="N24" s="39"/>
    </row>
    <row r="25" spans="2:15">
      <c r="C25" s="339"/>
      <c r="D25" s="339"/>
      <c r="E25" s="339"/>
      <c r="F25" s="646"/>
      <c r="G25" s="653"/>
      <c r="H25" s="456"/>
      <c r="I25" s="532"/>
      <c r="J25" s="646"/>
      <c r="K25" s="458"/>
      <c r="N25" s="39"/>
    </row>
    <row r="26" spans="2:15">
      <c r="C26" s="339"/>
      <c r="D26" s="339"/>
      <c r="E26" s="339"/>
      <c r="F26" s="506"/>
      <c r="G26" s="504"/>
      <c r="H26" s="456"/>
      <c r="I26" s="520"/>
      <c r="J26" s="505"/>
      <c r="K26" s="458"/>
      <c r="N26" s="39"/>
    </row>
    <row r="27" spans="2:15">
      <c r="B27" s="538" t="s">
        <v>524</v>
      </c>
      <c r="C27" s="541"/>
      <c r="D27" s="539" t="s">
        <v>525</v>
      </c>
      <c r="E27" s="452"/>
      <c r="F27" s="540" t="s">
        <v>526</v>
      </c>
      <c r="G27" s="460"/>
      <c r="K27" s="458"/>
    </row>
    <row r="28" spans="2:15">
      <c r="B28" s="355"/>
      <c r="C28" s="533" t="s">
        <v>519</v>
      </c>
      <c r="D28" s="534">
        <f>'2. ECONOMIA DE ENERGIA'!H51</f>
        <v>1685922.4</v>
      </c>
      <c r="E28" s="654"/>
      <c r="F28" s="535">
        <f>'2. ECONOMIA DE ENERGIA'!I51</f>
        <v>582654.78144000005</v>
      </c>
      <c r="G28" s="460"/>
      <c r="K28" s="458"/>
    </row>
    <row r="29" spans="2:15">
      <c r="B29" s="68"/>
      <c r="C29" s="637" t="s">
        <v>520</v>
      </c>
      <c r="D29" s="536">
        <f>'2. ECONOMIA DE ENERGIA'!H73</f>
        <v>583041</v>
      </c>
      <c r="E29" s="654"/>
      <c r="F29" s="537">
        <f>'2. ECONOMIA DE ENERGIA'!I73</f>
        <v>201498.96960000001</v>
      </c>
      <c r="G29" s="460"/>
      <c r="K29" s="458"/>
    </row>
    <row r="30" spans="2:15">
      <c r="B30" s="227"/>
      <c r="C30" s="655" t="s">
        <v>521</v>
      </c>
      <c r="D30" s="656">
        <f>D28-D29</f>
        <v>1102881.3999999999</v>
      </c>
      <c r="E30" s="654"/>
      <c r="F30" s="657">
        <f>F28-F29</f>
        <v>381155.81184000004</v>
      </c>
      <c r="G30" s="460"/>
      <c r="K30" s="458"/>
    </row>
    <row r="31" spans="2:15">
      <c r="B31" s="68"/>
      <c r="C31" s="658" t="s">
        <v>522</v>
      </c>
      <c r="D31" s="647">
        <f>1-D29/D28</f>
        <v>0.65417091557713447</v>
      </c>
      <c r="G31" s="460"/>
      <c r="K31" s="458"/>
    </row>
    <row r="32" spans="2:15">
      <c r="B32" s="57"/>
      <c r="C32" s="520"/>
      <c r="D32" s="507"/>
      <c r="G32" s="460"/>
      <c r="K32" s="458"/>
    </row>
    <row r="33" spans="2:12">
      <c r="C33" s="339"/>
      <c r="D33" s="339"/>
      <c r="E33" s="339"/>
      <c r="F33" s="460"/>
      <c r="G33" s="460"/>
      <c r="H33" s="456"/>
      <c r="I33" s="457"/>
      <c r="J33" s="340"/>
      <c r="K33" s="458"/>
    </row>
    <row r="34" spans="2:12">
      <c r="B34" s="476" t="s">
        <v>528</v>
      </c>
      <c r="C34" s="476"/>
      <c r="D34" s="476"/>
      <c r="E34" s="476"/>
      <c r="F34" s="476"/>
      <c r="G34" s="476"/>
      <c r="H34" s="456"/>
      <c r="I34" s="457"/>
      <c r="J34" s="340"/>
      <c r="K34" s="458"/>
    </row>
    <row r="35" spans="2:12">
      <c r="B35" s="690" t="s">
        <v>492</v>
      </c>
      <c r="C35" s="689"/>
      <c r="D35" s="689"/>
      <c r="E35" s="689"/>
      <c r="F35" s="689"/>
      <c r="G35" s="691"/>
      <c r="I35" s="690" t="s">
        <v>518</v>
      </c>
      <c r="J35" s="689"/>
      <c r="K35" s="691"/>
    </row>
    <row r="36" spans="2:12">
      <c r="B36" s="490" t="s">
        <v>490</v>
      </c>
      <c r="C36" s="512" t="s">
        <v>457</v>
      </c>
      <c r="D36" s="510" t="s">
        <v>167</v>
      </c>
      <c r="E36" s="511"/>
      <c r="F36" s="513" t="s">
        <v>497</v>
      </c>
      <c r="G36" s="491" t="s">
        <v>458</v>
      </c>
      <c r="I36" s="355"/>
      <c r="J36" s="514" t="s">
        <v>469</v>
      </c>
      <c r="K36" s="501">
        <f>'2. ECONOMIA DE ENERGIA'!I90</f>
        <v>356859.73929811973</v>
      </c>
      <c r="L36" s="659" t="s">
        <v>470</v>
      </c>
    </row>
    <row r="37" spans="2:12">
      <c r="B37" s="638" t="s">
        <v>455</v>
      </c>
      <c r="C37" s="481">
        <v>40</v>
      </c>
      <c r="D37" s="479">
        <f>'3. INVESTIMENTO GLOBAL'!D6</f>
        <v>2422</v>
      </c>
      <c r="E37" s="479"/>
      <c r="F37" s="482">
        <f>'3. INVESTIMENTO GLOBAL'!I6</f>
        <v>2395.8932580068358</v>
      </c>
      <c r="G37" s="29">
        <f t="shared" ref="G37:G42" si="8">D37*F37</f>
        <v>5802853.470892556</v>
      </c>
      <c r="I37" s="336"/>
      <c r="J37" s="515" t="s">
        <v>471</v>
      </c>
      <c r="K37" s="500">
        <f>'2. ECONOMIA DE ENERGIA'!X91</f>
        <v>145477.79151304107</v>
      </c>
      <c r="L37" s="659" t="s">
        <v>472</v>
      </c>
    </row>
    <row r="38" spans="2:12">
      <c r="B38" s="16" t="s">
        <v>455</v>
      </c>
      <c r="C38" s="478">
        <v>56</v>
      </c>
      <c r="D38" s="479">
        <f>'3. INVESTIMENTO GLOBAL'!D7</f>
        <v>1559</v>
      </c>
      <c r="E38" s="479"/>
      <c r="F38" s="480">
        <f>'3. INVESTIMENTO GLOBAL'!I7</f>
        <v>2460.8650256940214</v>
      </c>
      <c r="G38" s="19">
        <f t="shared" si="8"/>
        <v>3836488.5750569794</v>
      </c>
      <c r="I38" s="336"/>
      <c r="J38" s="516" t="s">
        <v>474</v>
      </c>
      <c r="K38" s="499">
        <f>F11/60</f>
        <v>211381.94778507881</v>
      </c>
      <c r="L38" s="659" t="s">
        <v>472</v>
      </c>
    </row>
    <row r="39" spans="2:12">
      <c r="B39" s="16" t="s">
        <v>455</v>
      </c>
      <c r="C39" s="478">
        <v>75</v>
      </c>
      <c r="D39" s="479">
        <f>'3. INVESTIMENTO GLOBAL'!D8</f>
        <v>1266</v>
      </c>
      <c r="E39" s="479"/>
      <c r="F39" s="480">
        <f>'3. INVESTIMENTO GLOBAL'!I8</f>
        <v>3072.1954364570247</v>
      </c>
      <c r="G39" s="19">
        <f t="shared" si="8"/>
        <v>3889399.4225545931</v>
      </c>
      <c r="I39" s="336"/>
      <c r="J39" s="517" t="s">
        <v>476</v>
      </c>
      <c r="K39" s="500">
        <f>-'5. CRONOGRAMA DE EXECUÇÃO'!C43/60</f>
        <v>-453345.69380789233</v>
      </c>
      <c r="L39" s="659" t="s">
        <v>472</v>
      </c>
    </row>
    <row r="40" spans="2:12">
      <c r="B40" s="16" t="s">
        <v>455</v>
      </c>
      <c r="C40" s="478">
        <v>115</v>
      </c>
      <c r="D40" s="479">
        <f>'3. INVESTIMENTO GLOBAL'!D9</f>
        <v>1083</v>
      </c>
      <c r="E40" s="479"/>
      <c r="F40" s="480">
        <f>'3. INVESTIMENTO GLOBAL'!I9</f>
        <v>3136.3878948780844</v>
      </c>
      <c r="G40" s="19">
        <f t="shared" si="8"/>
        <v>3396708.0901529654</v>
      </c>
      <c r="I40" s="336"/>
      <c r="J40" s="516" t="s">
        <v>478</v>
      </c>
      <c r="K40" s="500">
        <f>AVERAGE(K47:K49)</f>
        <v>460340.10333333333</v>
      </c>
      <c r="L40" s="659" t="s">
        <v>479</v>
      </c>
    </row>
    <row r="41" spans="2:12">
      <c r="B41" s="16" t="s">
        <v>491</v>
      </c>
      <c r="C41" s="478">
        <v>129</v>
      </c>
      <c r="D41" s="479">
        <f>'3. INVESTIMENTO GLOBAL'!D10</f>
        <v>615</v>
      </c>
      <c r="E41" s="479"/>
      <c r="F41" s="480">
        <f>'3. INVESTIMENTO GLOBAL'!I10</f>
        <v>4062.810639241854</v>
      </c>
      <c r="G41" s="19">
        <f t="shared" si="8"/>
        <v>2498628.5431337403</v>
      </c>
      <c r="I41" s="336"/>
      <c r="J41" s="516" t="s">
        <v>482</v>
      </c>
      <c r="K41" s="500">
        <f>SUM(K39:K40)-K37</f>
        <v>-138483.38198760006</v>
      </c>
    </row>
    <row r="42" spans="2:12">
      <c r="B42" s="69" t="s">
        <v>491</v>
      </c>
      <c r="C42" s="483">
        <v>170</v>
      </c>
      <c r="D42" s="484">
        <f>'3. INVESTIMENTO GLOBAL'!D11</f>
        <v>469</v>
      </c>
      <c r="E42" s="484"/>
      <c r="F42" s="485">
        <f>'3. INVESTIMENTO GLOBAL'!I11</f>
        <v>4579.0401805288948</v>
      </c>
      <c r="G42" s="35">
        <f t="shared" si="8"/>
        <v>2147569.8446680517</v>
      </c>
      <c r="I42" s="336"/>
      <c r="J42" s="516" t="s">
        <v>484</v>
      </c>
      <c r="K42" s="500">
        <f>J24</f>
        <v>155003.39122642597</v>
      </c>
      <c r="L42" s="659" t="s">
        <v>472</v>
      </c>
    </row>
    <row r="43" spans="2:12">
      <c r="B43" s="690" t="s">
        <v>462</v>
      </c>
      <c r="C43" s="689"/>
      <c r="D43" s="689"/>
      <c r="E43" s="689"/>
      <c r="F43" s="689"/>
      <c r="G43" s="691"/>
      <c r="I43" s="336"/>
      <c r="J43" s="516" t="s">
        <v>487</v>
      </c>
      <c r="K43" s="500">
        <f>SUM(K41:K42)</f>
        <v>16520.009238825907</v>
      </c>
      <c r="L43" s="474"/>
    </row>
    <row r="44" spans="2:12" ht="16.149999999999999" customHeight="1">
      <c r="B44" s="488" t="s">
        <v>490</v>
      </c>
      <c r="C44" s="508" t="s">
        <v>496</v>
      </c>
      <c r="D44" s="510" t="s">
        <v>167</v>
      </c>
      <c r="E44" s="511"/>
      <c r="F44" s="509" t="s">
        <v>497</v>
      </c>
      <c r="G44" s="489" t="s">
        <v>458</v>
      </c>
      <c r="I44" s="336"/>
      <c r="J44" s="516" t="s">
        <v>488</v>
      </c>
      <c r="K44" s="502">
        <f>K43*12</f>
        <v>198240.11086591089</v>
      </c>
    </row>
    <row r="45" spans="2:12">
      <c r="B45" s="638" t="s">
        <v>493</v>
      </c>
      <c r="C45" s="487" t="s">
        <v>464</v>
      </c>
      <c r="D45" s="479">
        <f>'3. INVESTIMENTO GLOBAL'!D12</f>
        <v>6845</v>
      </c>
      <c r="E45" s="479"/>
      <c r="F45" s="482">
        <f>'3. INVESTIMENTO GLOBAL'!I12</f>
        <v>755.33922144051974</v>
      </c>
      <c r="G45" s="29">
        <f>D45*F45</f>
        <v>5170296.9707603576</v>
      </c>
      <c r="I45" s="545"/>
      <c r="J45" s="546" t="s">
        <v>489</v>
      </c>
      <c r="K45" s="518">
        <f>SUM(C53,C54)</f>
        <v>7538</v>
      </c>
    </row>
    <row r="46" spans="2:12">
      <c r="B46" s="16" t="s">
        <v>494</v>
      </c>
      <c r="C46" s="486" t="s">
        <v>465</v>
      </c>
      <c r="D46" s="479">
        <f>'3. INVESTIMENTO GLOBAL'!D13</f>
        <v>469</v>
      </c>
      <c r="E46" s="479"/>
      <c r="F46" s="480">
        <f>'3. INVESTIMENTO GLOBAL'!I13</f>
        <v>924.10995557397689</v>
      </c>
      <c r="G46" s="19">
        <f>D46*F46</f>
        <v>433407.56916419516</v>
      </c>
    </row>
    <row r="47" spans="2:12">
      <c r="B47" s="16" t="s">
        <v>495</v>
      </c>
      <c r="C47" s="486" t="s">
        <v>352</v>
      </c>
      <c r="D47" s="479">
        <f>'3. INVESTIMENTO GLOBAL'!D14</f>
        <v>50</v>
      </c>
      <c r="E47" s="479"/>
      <c r="F47" s="480">
        <f>'3. INVESTIMENTO GLOBAL'!I14</f>
        <v>507.78283440257786</v>
      </c>
      <c r="G47" s="35">
        <f>D47*F47</f>
        <v>25389.141720128893</v>
      </c>
      <c r="J47" s="461" t="s">
        <v>460</v>
      </c>
      <c r="K47" s="462">
        <v>457201</v>
      </c>
    </row>
    <row r="48" spans="2:12">
      <c r="B48" s="545"/>
      <c r="C48" s="547"/>
      <c r="D48" s="548"/>
      <c r="E48" s="548"/>
      <c r="F48" s="549" t="s">
        <v>467</v>
      </c>
      <c r="G48" s="660">
        <f>SUM(G37:G42,G45:G47)</f>
        <v>27200741.628103565</v>
      </c>
      <c r="J48" s="463" t="s">
        <v>461</v>
      </c>
      <c r="K48" s="464">
        <v>455437.29</v>
      </c>
    </row>
    <row r="49" spans="2:13">
      <c r="C49" s="467"/>
      <c r="D49" s="468"/>
      <c r="E49" s="468"/>
      <c r="F49" s="469"/>
      <c r="G49" s="470"/>
      <c r="I49" s="471"/>
      <c r="J49" s="465" t="s">
        <v>463</v>
      </c>
      <c r="K49" s="466">
        <v>468382.02</v>
      </c>
    </row>
    <row r="50" spans="2:13">
      <c r="B50" s="692" t="s">
        <v>498</v>
      </c>
      <c r="C50" s="693"/>
      <c r="D50" s="468"/>
      <c r="E50" s="694" t="s">
        <v>432</v>
      </c>
      <c r="F50" s="695"/>
      <c r="G50" s="29">
        <f>G48</f>
        <v>27200741.628103565</v>
      </c>
      <c r="J50" s="519"/>
      <c r="K50" s="505"/>
    </row>
    <row r="51" spans="2:13">
      <c r="B51" s="635" t="s">
        <v>473</v>
      </c>
      <c r="C51" s="492">
        <f>SUM(D37:D40)</f>
        <v>6330</v>
      </c>
      <c r="D51" s="468"/>
      <c r="E51" s="696" t="s">
        <v>433</v>
      </c>
      <c r="F51" s="697"/>
      <c r="G51" s="29">
        <f>NPV(G53,'5. CRONOGRAMA DE EXECUÇÃO'!G43:BK43)</f>
        <v>23323600.783872042</v>
      </c>
      <c r="J51" s="519"/>
      <c r="K51" s="505"/>
    </row>
    <row r="52" spans="2:13">
      <c r="B52" s="636" t="s">
        <v>475</v>
      </c>
      <c r="C52" s="493">
        <f>SUM(D41:D42)</f>
        <v>1084</v>
      </c>
      <c r="E52" s="696" t="s">
        <v>435</v>
      </c>
      <c r="F52" s="697"/>
      <c r="G52" s="632">
        <v>6.5000000000000002E-2</v>
      </c>
      <c r="J52" s="520"/>
      <c r="K52" s="506"/>
    </row>
    <row r="53" spans="2:13">
      <c r="B53" s="472" t="s">
        <v>477</v>
      </c>
      <c r="C53" s="494">
        <f>SUM(D37:D42)</f>
        <v>7414</v>
      </c>
      <c r="E53" s="698" t="s">
        <v>436</v>
      </c>
      <c r="F53" s="699"/>
      <c r="G53" s="633">
        <v>5.2620000000000002E-3</v>
      </c>
      <c r="I53" s="355"/>
      <c r="J53" s="524" t="s">
        <v>466</v>
      </c>
      <c r="K53" s="526">
        <f>K38+K42</f>
        <v>366385.33901150478</v>
      </c>
    </row>
    <row r="54" spans="2:13">
      <c r="B54" s="495" t="s">
        <v>481</v>
      </c>
      <c r="C54" s="496">
        <f>'2. ECONOMIA DE ENERGIA'!C90</f>
        <v>124</v>
      </c>
      <c r="E54" s="700" t="s">
        <v>437</v>
      </c>
      <c r="F54" s="701"/>
      <c r="G54" s="64">
        <f>G50-G51</f>
        <v>3877140.8442315236</v>
      </c>
      <c r="I54" s="68"/>
      <c r="J54" s="525" t="s">
        <v>468</v>
      </c>
      <c r="K54" s="527">
        <f>-K53/K39</f>
        <v>0.80818091804079761</v>
      </c>
      <c r="L54" s="473">
        <f>1-K38/K39</f>
        <v>1.4662709951197928</v>
      </c>
      <c r="M54" s="473"/>
    </row>
    <row r="55" spans="2:13">
      <c r="B55" s="636" t="s">
        <v>456</v>
      </c>
      <c r="C55" s="493">
        <f>SUM(D45:D47)</f>
        <v>7364</v>
      </c>
    </row>
    <row r="56" spans="2:13">
      <c r="B56" s="497" t="s">
        <v>486</v>
      </c>
      <c r="C56" s="498">
        <f>SUM(C53:C54)</f>
        <v>7538</v>
      </c>
      <c r="E56" s="702" t="s">
        <v>459</v>
      </c>
      <c r="F56" s="703"/>
      <c r="G56" s="704"/>
    </row>
    <row r="57" spans="2:13">
      <c r="D57" s="454" t="s">
        <v>546</v>
      </c>
      <c r="E57" s="339"/>
    </row>
    <row r="58" spans="2:13">
      <c r="B58" s="559" t="s">
        <v>531</v>
      </c>
      <c r="C58" s="10"/>
      <c r="D58" s="560" t="s">
        <v>535</v>
      </c>
      <c r="E58" s="523"/>
      <c r="F58" s="634" t="s">
        <v>534</v>
      </c>
      <c r="G58" s="561"/>
      <c r="H58" s="561"/>
      <c r="I58" s="689"/>
      <c r="J58" s="689"/>
      <c r="K58" s="561"/>
      <c r="L58" s="561"/>
      <c r="M58" s="555"/>
    </row>
    <row r="59" spans="2:13">
      <c r="D59" s="454" t="s">
        <v>536</v>
      </c>
      <c r="F59" s="454" t="s">
        <v>537</v>
      </c>
      <c r="G59" s="454" t="s">
        <v>538</v>
      </c>
      <c r="H59" s="454" t="s">
        <v>539</v>
      </c>
      <c r="I59" s="454" t="s">
        <v>540</v>
      </c>
      <c r="J59" s="454" t="s">
        <v>541</v>
      </c>
      <c r="K59" s="454" t="s">
        <v>542</v>
      </c>
      <c r="L59" s="454" t="s">
        <v>543</v>
      </c>
      <c r="M59" s="454" t="s">
        <v>544</v>
      </c>
    </row>
    <row r="60" spans="2:13">
      <c r="B60" s="550"/>
      <c r="C60" s="661" t="s">
        <v>532</v>
      </c>
      <c r="D60" s="308">
        <f>D3</f>
        <v>356859.73929811973</v>
      </c>
      <c r="E60" s="339"/>
      <c r="F60" s="280">
        <f t="shared" ref="F60:L60" si="9">F4</f>
        <v>356859.73929811968</v>
      </c>
      <c r="G60" s="280">
        <f t="shared" si="9"/>
        <v>356859.73929811968</v>
      </c>
      <c r="H60" s="280">
        <f t="shared" si="9"/>
        <v>356859.73929811968</v>
      </c>
      <c r="I60" s="280">
        <f t="shared" si="9"/>
        <v>315577.46449410048</v>
      </c>
      <c r="J60" s="280">
        <f t="shared" si="9"/>
        <v>287186.12404328445</v>
      </c>
      <c r="K60" s="280">
        <f t="shared" si="9"/>
        <v>265579.45246199804</v>
      </c>
      <c r="L60" s="280">
        <f t="shared" si="9"/>
        <v>248883.95571959805</v>
      </c>
      <c r="M60" s="280">
        <f>SUM('5. CRONOGRAMA DE EXECUÇÃO'!K66:BK66)</f>
        <v>6540861.2761691213</v>
      </c>
    </row>
    <row r="61" spans="2:13">
      <c r="B61" s="551"/>
      <c r="C61" s="662" t="s">
        <v>533</v>
      </c>
      <c r="D61" s="553">
        <f>D16</f>
        <v>166507.38833333334</v>
      </c>
      <c r="F61" s="280">
        <f t="shared" ref="F61:M61" si="10">F17</f>
        <v>166507.38833333334</v>
      </c>
      <c r="G61" s="280">
        <f t="shared" si="10"/>
        <v>166507.38833333334</v>
      </c>
      <c r="H61" s="280">
        <f t="shared" si="10"/>
        <v>137311.32617615323</v>
      </c>
      <c r="I61" s="280">
        <f t="shared" si="10"/>
        <v>108115.26401897312</v>
      </c>
      <c r="J61" s="280">
        <f t="shared" si="10"/>
        <v>74427.499991457604</v>
      </c>
      <c r="K61" s="280">
        <f t="shared" si="10"/>
        <v>37370.959561190539</v>
      </c>
      <c r="L61" s="280">
        <f t="shared" si="10"/>
        <v>0</v>
      </c>
      <c r="M61" s="280">
        <f t="shared" si="10"/>
        <v>0</v>
      </c>
    </row>
    <row r="62" spans="2:13">
      <c r="B62" s="551"/>
      <c r="C62" s="662" t="s">
        <v>545</v>
      </c>
      <c r="D62" s="558">
        <f>-SUM(D60:D61)</f>
        <v>-523367.1276314531</v>
      </c>
      <c r="F62" s="556">
        <f>-SUM(F60:F61)</f>
        <v>-523367.12763145298</v>
      </c>
      <c r="G62" s="558">
        <f t="shared" ref="G62:L62" si="11">-SUM(G60:G61)</f>
        <v>-523367.12763145298</v>
      </c>
      <c r="H62" s="558">
        <f t="shared" si="11"/>
        <v>-494171.06547427294</v>
      </c>
      <c r="I62" s="558">
        <f t="shared" si="11"/>
        <v>-423692.72851307358</v>
      </c>
      <c r="J62" s="558">
        <f t="shared" si="11"/>
        <v>-361613.62403474207</v>
      </c>
      <c r="K62" s="558">
        <f t="shared" si="11"/>
        <v>-302950.41202318855</v>
      </c>
      <c r="L62" s="558">
        <f t="shared" si="11"/>
        <v>-248883.95571959805</v>
      </c>
      <c r="M62" s="558">
        <f>-SUM(M60:M61)</f>
        <v>-6540861.2761691213</v>
      </c>
    </row>
    <row r="63" spans="2:13">
      <c r="B63" s="551"/>
      <c r="C63" s="662" t="s">
        <v>530</v>
      </c>
      <c r="D63" s="554">
        <f>K40</f>
        <v>460340.10333333333</v>
      </c>
      <c r="F63" s="556">
        <f t="shared" ref="F63:L63" si="12">$D$63</f>
        <v>460340.10333333333</v>
      </c>
      <c r="G63" s="556">
        <f t="shared" si="12"/>
        <v>460340.10333333333</v>
      </c>
      <c r="H63" s="556">
        <f t="shared" si="12"/>
        <v>460340.10333333333</v>
      </c>
      <c r="I63" s="556">
        <f t="shared" si="12"/>
        <v>460340.10333333333</v>
      </c>
      <c r="J63" s="556">
        <f t="shared" si="12"/>
        <v>460340.10333333333</v>
      </c>
      <c r="K63" s="556">
        <f t="shared" si="12"/>
        <v>460340.10333333333</v>
      </c>
      <c r="L63" s="556">
        <f t="shared" si="12"/>
        <v>460340.10333333333</v>
      </c>
      <c r="M63" s="556">
        <f>$D$63*53</f>
        <v>24398025.476666667</v>
      </c>
    </row>
    <row r="64" spans="2:13">
      <c r="B64" s="552"/>
      <c r="C64" s="663" t="s">
        <v>529</v>
      </c>
      <c r="D64" s="553">
        <v>0</v>
      </c>
      <c r="F64" s="556">
        <f>-'5. CRONOGRAMA DE EXECUÇÃO'!D43</f>
        <v>0</v>
      </c>
      <c r="G64" s="558">
        <f>-'5. CRONOGRAMA DE EXECUÇÃO'!E43</f>
        <v>0</v>
      </c>
      <c r="H64" s="558">
        <f>-'5. CRONOGRAMA DE EXECUÇÃO'!F43</f>
        <v>0</v>
      </c>
      <c r="I64" s="558">
        <f>-'5. CRONOGRAMA DE EXECUÇÃO'!G43</f>
        <v>-110538.75180869224</v>
      </c>
      <c r="J64" s="558">
        <f>-'5. CRONOGRAMA DE EXECUÇÃO'!H43</f>
        <v>-200979.41125235637</v>
      </c>
      <c r="K64" s="558">
        <f>-'5. CRONOGRAMA DE EXECUÇÃO'!I43</f>
        <v>-297952.94948630896</v>
      </c>
      <c r="L64" s="558">
        <f>-'5. CRONOGRAMA DE EXECUÇÃO'!J43</f>
        <v>-395022.67615454615</v>
      </c>
      <c r="M64" s="558">
        <f>-SUM('5. CRONOGRAMA DE EXECUÇÃO'!K43:BK43)</f>
        <v>-26196247.839771662</v>
      </c>
    </row>
    <row r="66" spans="2:13">
      <c r="B66" s="545"/>
      <c r="C66" s="555"/>
      <c r="D66" s="554">
        <f>SUM(D62:D64)</f>
        <v>-63027.024298119766</v>
      </c>
      <c r="F66" s="557">
        <f>SUM(F62:F64)</f>
        <v>-63027.02429811965</v>
      </c>
      <c r="G66" s="554">
        <f t="shared" ref="G66:L66" si="13">SUM(G62:G64)</f>
        <v>-63027.02429811965</v>
      </c>
      <c r="H66" s="554">
        <f t="shared" si="13"/>
        <v>-33830.962140939606</v>
      </c>
      <c r="I66" s="554">
        <f t="shared" si="13"/>
        <v>-73891.376988432487</v>
      </c>
      <c r="J66" s="554">
        <f t="shared" si="13"/>
        <v>-102252.9319537651</v>
      </c>
      <c r="K66" s="554">
        <f t="shared" si="13"/>
        <v>-140563.25817616418</v>
      </c>
      <c r="L66" s="554">
        <f t="shared" si="13"/>
        <v>-183566.52854081086</v>
      </c>
      <c r="M66" s="554">
        <f>SUM(M62:M64)</f>
        <v>-8339083.6392741166</v>
      </c>
    </row>
    <row r="68" spans="2:13">
      <c r="B68" s="550"/>
      <c r="C68" s="661" t="s">
        <v>554</v>
      </c>
      <c r="D68" s="558">
        <f>K40</f>
        <v>460340.10333333333</v>
      </c>
      <c r="F68" s="475"/>
      <c r="H68" s="371"/>
      <c r="I68" s="371"/>
    </row>
    <row r="69" spans="2:13">
      <c r="B69" s="551"/>
      <c r="C69" s="662" t="s">
        <v>553</v>
      </c>
      <c r="D69" s="556">
        <f>-SUM(F66:M66)/60</f>
        <v>149987.37909450781</v>
      </c>
    </row>
    <row r="70" spans="2:13">
      <c r="B70" s="551"/>
      <c r="C70" s="662" t="s">
        <v>555</v>
      </c>
      <c r="D70" s="296">
        <f>SUM(D68:D69)</f>
        <v>610327.48242784117</v>
      </c>
    </row>
    <row r="71" spans="2:13">
      <c r="B71" s="552"/>
      <c r="C71" s="663" t="s">
        <v>556</v>
      </c>
      <c r="D71" s="301">
        <f>ROUNDUP(D69/D68,4)</f>
        <v>0.32589999999999997</v>
      </c>
    </row>
    <row r="74" spans="2:13">
      <c r="D74" s="39"/>
    </row>
  </sheetData>
  <mergeCells count="15">
    <mergeCell ref="B3:C3"/>
    <mergeCell ref="B4:C4"/>
    <mergeCell ref="B5:C5"/>
    <mergeCell ref="B6:C6"/>
    <mergeCell ref="I58:J58"/>
    <mergeCell ref="B43:G43"/>
    <mergeCell ref="B35:G35"/>
    <mergeCell ref="B50:C50"/>
    <mergeCell ref="I35:K35"/>
    <mergeCell ref="E50:F50"/>
    <mergeCell ref="E51:F51"/>
    <mergeCell ref="E52:F52"/>
    <mergeCell ref="E53:F53"/>
    <mergeCell ref="E54:F54"/>
    <mergeCell ref="E56:G56"/>
  </mergeCells>
  <phoneticPr fontId="31" type="noConversion"/>
  <conditionalFormatting sqref="K45">
    <cfRule type="containsText" dxfId="1" priority="1" operator="containsText" text="INEXEQUÍVEL">
      <formula>NOT(ISERROR(SEARCH("INEXEQUÍVEL",K45)))</formula>
    </cfRule>
    <cfRule type="containsText" dxfId="0" priority="2" operator="containsText" text="EXEQUÍVEL">
      <formula>NOT(ISERROR(SEARCH("EXEQUÍVEL",K45)))</formula>
    </cfRule>
  </conditionalFormatting>
  <pageMargins left="0.25" right="0.25" top="1.38" bottom="0.75" header="0.3" footer="0.3"/>
  <pageSetup paperSize="9" scale="70" fitToHeight="0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0"/>
  <sheetViews>
    <sheetView view="pageBreakPreview" zoomScale="60" workbookViewId="0">
      <selection activeCell="F41" sqref="F41"/>
    </sheetView>
  </sheetViews>
  <sheetFormatPr defaultColWidth="11" defaultRowHeight="15.75"/>
  <cols>
    <col min="1" max="1" width="7.5" customWidth="1"/>
    <col min="2" max="9" width="13.25" customWidth="1"/>
  </cols>
  <sheetData>
    <row r="1" spans="1:9" ht="30" customHeight="1">
      <c r="A1" s="741" t="s">
        <v>118</v>
      </c>
      <c r="B1" s="741"/>
      <c r="C1" s="741"/>
      <c r="D1" s="741"/>
      <c r="E1" s="741"/>
      <c r="F1" s="741"/>
      <c r="G1" s="741"/>
      <c r="H1" s="741"/>
      <c r="I1" s="741"/>
    </row>
    <row r="2" spans="1:9" ht="30" customHeight="1">
      <c r="A2" s="742" t="s">
        <v>119</v>
      </c>
      <c r="B2" s="743"/>
      <c r="C2" s="743"/>
      <c r="D2" s="743"/>
      <c r="E2" s="743"/>
      <c r="F2" s="743"/>
      <c r="G2" s="743"/>
      <c r="H2" s="743"/>
      <c r="I2" s="744"/>
    </row>
    <row r="3" spans="1:9">
      <c r="A3" s="71"/>
      <c r="B3" s="72"/>
      <c r="C3" s="71"/>
      <c r="D3" s="73"/>
      <c r="E3" s="73"/>
      <c r="F3" s="73"/>
      <c r="G3" s="74"/>
      <c r="H3" s="75"/>
      <c r="I3" s="76"/>
    </row>
    <row r="4" spans="1:9">
      <c r="A4" s="745" t="s">
        <v>120</v>
      </c>
      <c r="B4" s="746"/>
      <c r="C4" s="746"/>
      <c r="D4" s="746"/>
      <c r="E4" s="746"/>
      <c r="F4" s="746"/>
      <c r="G4" s="746"/>
      <c r="H4" s="746"/>
      <c r="I4" s="747"/>
    </row>
    <row r="5" spans="1:9" ht="16.5" thickBot="1">
      <c r="A5" s="77"/>
      <c r="B5" s="77"/>
      <c r="C5" s="77"/>
      <c r="D5" s="77"/>
      <c r="E5" s="77"/>
      <c r="F5" s="76"/>
      <c r="G5" s="76"/>
      <c r="H5" s="77"/>
      <c r="I5" s="76"/>
    </row>
    <row r="6" spans="1:9">
      <c r="A6" s="748" t="s">
        <v>121</v>
      </c>
      <c r="B6" s="749"/>
      <c r="C6" s="749"/>
      <c r="D6" s="749"/>
      <c r="E6" s="750"/>
      <c r="F6" s="754" t="s">
        <v>122</v>
      </c>
      <c r="G6" s="755"/>
      <c r="H6" s="756"/>
      <c r="I6" s="757" t="s">
        <v>123</v>
      </c>
    </row>
    <row r="7" spans="1:9" ht="16.5" thickBot="1">
      <c r="A7" s="751"/>
      <c r="B7" s="752"/>
      <c r="C7" s="752"/>
      <c r="D7" s="752"/>
      <c r="E7" s="753"/>
      <c r="F7" s="78" t="s">
        <v>124</v>
      </c>
      <c r="G7" s="78" t="s">
        <v>125</v>
      </c>
      <c r="H7" s="78" t="s">
        <v>126</v>
      </c>
      <c r="I7" s="758"/>
    </row>
    <row r="8" spans="1:9">
      <c r="A8" s="733" t="s">
        <v>127</v>
      </c>
      <c r="B8" s="735" t="s">
        <v>128</v>
      </c>
      <c r="C8" s="736"/>
      <c r="D8" s="736"/>
      <c r="E8" s="737"/>
      <c r="F8" s="79">
        <v>5.2900000000000003E-2</v>
      </c>
      <c r="G8" s="80">
        <v>5.9200000000000003E-2</v>
      </c>
      <c r="H8" s="79">
        <v>7.9299999999999995E-2</v>
      </c>
      <c r="I8" s="81">
        <f>F8</f>
        <v>5.2900000000000003E-2</v>
      </c>
    </row>
    <row r="9" spans="1:9">
      <c r="A9" s="759"/>
      <c r="B9" s="760" t="s">
        <v>129</v>
      </c>
      <c r="C9" s="761"/>
      <c r="D9" s="761"/>
      <c r="E9" s="762"/>
      <c r="F9" s="79">
        <v>2.5000000000000001E-3</v>
      </c>
      <c r="G9" s="80">
        <v>5.1000000000000004E-3</v>
      </c>
      <c r="H9" s="79">
        <v>5.5999999999999999E-3</v>
      </c>
      <c r="I9" s="82">
        <f>F9</f>
        <v>2.5000000000000001E-3</v>
      </c>
    </row>
    <row r="10" spans="1:9">
      <c r="A10" s="759"/>
      <c r="B10" s="760" t="s">
        <v>130</v>
      </c>
      <c r="C10" s="761"/>
      <c r="D10" s="761"/>
      <c r="E10" s="762"/>
      <c r="F10" s="79">
        <v>0.01</v>
      </c>
      <c r="G10" s="80">
        <v>1.4800000000000001E-2</v>
      </c>
      <c r="H10" s="79">
        <v>1.9699999999999999E-2</v>
      </c>
      <c r="I10" s="83">
        <f>F10</f>
        <v>0.01</v>
      </c>
    </row>
    <row r="11" spans="1:9" ht="16.5" thickBot="1">
      <c r="A11" s="734"/>
      <c r="B11" s="738" t="s">
        <v>131</v>
      </c>
      <c r="C11" s="739"/>
      <c r="D11" s="739"/>
      <c r="E11" s="739"/>
      <c r="F11" s="739"/>
      <c r="G11" s="739"/>
      <c r="H11" s="740"/>
      <c r="I11" s="84">
        <f>SUM(I8:I10)</f>
        <v>6.54E-2</v>
      </c>
    </row>
    <row r="12" spans="1:9">
      <c r="A12" s="733" t="s">
        <v>132</v>
      </c>
      <c r="B12" s="735" t="s">
        <v>133</v>
      </c>
      <c r="C12" s="736"/>
      <c r="D12" s="736"/>
      <c r="E12" s="737"/>
      <c r="F12" s="79">
        <v>1.01E-2</v>
      </c>
      <c r="G12" s="80">
        <v>1.0699999999999999E-2</v>
      </c>
      <c r="H12" s="79">
        <v>1.11E-2</v>
      </c>
      <c r="I12" s="85">
        <f>F12</f>
        <v>1.01E-2</v>
      </c>
    </row>
    <row r="13" spans="1:9" ht="16.5" thickBot="1">
      <c r="A13" s="734"/>
      <c r="B13" s="738" t="s">
        <v>131</v>
      </c>
      <c r="C13" s="739"/>
      <c r="D13" s="739"/>
      <c r="E13" s="739"/>
      <c r="F13" s="739"/>
      <c r="G13" s="739"/>
      <c r="H13" s="740"/>
      <c r="I13" s="84">
        <f>I12</f>
        <v>1.01E-2</v>
      </c>
    </row>
    <row r="14" spans="1:9">
      <c r="A14" s="733" t="s">
        <v>134</v>
      </c>
      <c r="B14" s="735" t="s">
        <v>135</v>
      </c>
      <c r="C14" s="736"/>
      <c r="D14" s="736"/>
      <c r="E14" s="737"/>
      <c r="F14" s="79">
        <v>0.08</v>
      </c>
      <c r="G14" s="80">
        <v>8.3099999999999993E-2</v>
      </c>
      <c r="H14" s="79">
        <v>9.5100000000000004E-2</v>
      </c>
      <c r="I14" s="85">
        <f>F14</f>
        <v>0.08</v>
      </c>
    </row>
    <row r="15" spans="1:9" ht="16.5" thickBot="1">
      <c r="A15" s="734"/>
      <c r="B15" s="738" t="s">
        <v>131</v>
      </c>
      <c r="C15" s="739"/>
      <c r="D15" s="739"/>
      <c r="E15" s="739"/>
      <c r="F15" s="739"/>
      <c r="G15" s="739"/>
      <c r="H15" s="740"/>
      <c r="I15" s="84">
        <f>I14</f>
        <v>0.08</v>
      </c>
    </row>
    <row r="16" spans="1:9">
      <c r="A16" s="733" t="s">
        <v>136</v>
      </c>
      <c r="B16" s="763" t="s">
        <v>137</v>
      </c>
      <c r="C16" s="764"/>
      <c r="D16" s="764"/>
      <c r="E16" s="764"/>
      <c r="F16" s="764"/>
      <c r="G16" s="764"/>
      <c r="H16" s="765"/>
      <c r="I16" s="86"/>
    </row>
    <row r="17" spans="1:9">
      <c r="A17" s="759"/>
      <c r="B17" s="760" t="s">
        <v>138</v>
      </c>
      <c r="C17" s="761"/>
      <c r="D17" s="761"/>
      <c r="E17" s="762"/>
      <c r="F17" s="79">
        <v>0.03</v>
      </c>
      <c r="G17" s="80">
        <v>0.03</v>
      </c>
      <c r="H17" s="79">
        <v>0.03</v>
      </c>
      <c r="I17" s="83">
        <f>F17</f>
        <v>0.03</v>
      </c>
    </row>
    <row r="18" spans="1:9">
      <c r="A18" s="759"/>
      <c r="B18" s="760" t="s">
        <v>139</v>
      </c>
      <c r="C18" s="761"/>
      <c r="D18" s="761"/>
      <c r="E18" s="762"/>
      <c r="F18" s="79">
        <v>6.4999999999999997E-3</v>
      </c>
      <c r="G18" s="80">
        <v>6.4999999999999997E-3</v>
      </c>
      <c r="H18" s="79">
        <v>6.4999999999999997E-3</v>
      </c>
      <c r="I18" s="83">
        <f>F18</f>
        <v>6.4999999999999997E-3</v>
      </c>
    </row>
    <row r="19" spans="1:9">
      <c r="A19" s="759"/>
      <c r="B19" s="760" t="s">
        <v>617</v>
      </c>
      <c r="C19" s="761"/>
      <c r="D19" s="761"/>
      <c r="E19" s="762"/>
      <c r="F19" s="79">
        <v>0</v>
      </c>
      <c r="G19" s="80">
        <v>0</v>
      </c>
      <c r="H19" s="79">
        <v>0</v>
      </c>
      <c r="I19" s="83">
        <f>F19</f>
        <v>0</v>
      </c>
    </row>
    <row r="20" spans="1:9">
      <c r="A20" s="759"/>
      <c r="B20" s="766" t="s">
        <v>140</v>
      </c>
      <c r="C20" s="767"/>
      <c r="D20" s="767"/>
      <c r="E20" s="768"/>
      <c r="F20" s="87">
        <v>0</v>
      </c>
      <c r="G20" s="88">
        <v>0</v>
      </c>
      <c r="H20" s="87">
        <v>0</v>
      </c>
      <c r="I20" s="89">
        <f>F20</f>
        <v>0</v>
      </c>
    </row>
    <row r="21" spans="1:9" ht="16.5" thickBot="1">
      <c r="A21" s="734"/>
      <c r="B21" s="738" t="s">
        <v>131</v>
      </c>
      <c r="C21" s="739"/>
      <c r="D21" s="739"/>
      <c r="E21" s="739"/>
      <c r="F21" s="739"/>
      <c r="G21" s="739"/>
      <c r="H21" s="740"/>
      <c r="I21" s="90">
        <f>SUM(I16:I20)</f>
        <v>3.6499999999999998E-2</v>
      </c>
    </row>
    <row r="22" spans="1:9" ht="16.5" thickBot="1">
      <c r="A22" s="769" t="s">
        <v>141</v>
      </c>
      <c r="B22" s="770"/>
      <c r="C22" s="770"/>
      <c r="D22" s="770"/>
      <c r="E22" s="770"/>
      <c r="F22" s="770"/>
      <c r="G22" s="770"/>
      <c r="H22" s="771"/>
      <c r="I22" s="91">
        <f>F46</f>
        <v>0.20628270181629471</v>
      </c>
    </row>
    <row r="23" spans="1:9">
      <c r="A23" s="77"/>
      <c r="B23" s="77"/>
      <c r="C23" s="77"/>
      <c r="D23" s="77"/>
      <c r="E23" s="77"/>
      <c r="F23" s="76"/>
      <c r="G23" s="76"/>
      <c r="H23" s="77"/>
      <c r="I23" s="76"/>
    </row>
    <row r="24" spans="1:9">
      <c r="A24" s="772" t="s">
        <v>142</v>
      </c>
      <c r="B24" s="773"/>
      <c r="C24" s="773"/>
      <c r="D24" s="773"/>
      <c r="E24" s="774"/>
      <c r="F24" s="772" t="s">
        <v>143</v>
      </c>
      <c r="G24" s="773"/>
      <c r="H24" s="773"/>
      <c r="I24" s="774"/>
    </row>
    <row r="25" spans="1:9">
      <c r="A25" s="92" t="s">
        <v>144</v>
      </c>
      <c r="B25" s="775" t="s">
        <v>145</v>
      </c>
      <c r="C25" s="776"/>
      <c r="D25" s="776"/>
      <c r="E25" s="777"/>
      <c r="F25" s="778"/>
      <c r="G25" s="780"/>
      <c r="H25" s="780"/>
      <c r="I25" s="781"/>
    </row>
    <row r="26" spans="1:9">
      <c r="A26" s="93" t="s">
        <v>146</v>
      </c>
      <c r="B26" s="783" t="s">
        <v>147</v>
      </c>
      <c r="C26" s="784"/>
      <c r="D26" s="784"/>
      <c r="E26" s="785"/>
      <c r="F26" s="779"/>
      <c r="G26" s="786"/>
      <c r="H26" s="786"/>
      <c r="I26" s="782"/>
    </row>
    <row r="27" spans="1:9">
      <c r="A27" s="93" t="s">
        <v>148</v>
      </c>
      <c r="B27" s="783" t="s">
        <v>135</v>
      </c>
      <c r="C27" s="784"/>
      <c r="D27" s="784"/>
      <c r="E27" s="785"/>
      <c r="F27" s="94"/>
      <c r="G27" s="76"/>
      <c r="H27" s="77"/>
      <c r="I27" s="95"/>
    </row>
    <row r="28" spans="1:9">
      <c r="A28" s="93" t="s">
        <v>149</v>
      </c>
      <c r="B28" s="783" t="s">
        <v>150</v>
      </c>
      <c r="C28" s="784"/>
      <c r="D28" s="784"/>
      <c r="E28" s="785"/>
      <c r="F28" s="96"/>
      <c r="G28" s="97"/>
      <c r="H28" s="98"/>
      <c r="I28" s="99"/>
    </row>
    <row r="29" spans="1:9" ht="16.5" thickBot="1">
      <c r="A29" s="77"/>
      <c r="B29" s="77"/>
      <c r="C29" s="77"/>
      <c r="D29" s="77"/>
      <c r="E29" s="77"/>
      <c r="F29" s="76"/>
      <c r="G29" s="76"/>
      <c r="H29" s="77"/>
      <c r="I29" s="76"/>
    </row>
    <row r="30" spans="1:9">
      <c r="A30" s="787" t="s">
        <v>151</v>
      </c>
      <c r="B30" s="100" t="s">
        <v>152</v>
      </c>
      <c r="C30" s="100" t="s">
        <v>153</v>
      </c>
      <c r="D30" s="100" t="s">
        <v>154</v>
      </c>
      <c r="E30" s="789" t="s">
        <v>155</v>
      </c>
      <c r="F30" s="76"/>
      <c r="G30" s="76"/>
      <c r="H30" s="77"/>
      <c r="I30" s="76"/>
    </row>
    <row r="31" spans="1:9" ht="16.5" thickBot="1">
      <c r="A31" s="788"/>
      <c r="B31" s="101"/>
      <c r="C31" s="101" t="s">
        <v>156</v>
      </c>
      <c r="D31" s="101"/>
      <c r="E31" s="790"/>
      <c r="F31" s="76"/>
      <c r="G31" s="76"/>
      <c r="H31" s="77"/>
      <c r="I31" s="76"/>
    </row>
    <row r="32" spans="1:9">
      <c r="A32" s="77"/>
      <c r="B32" s="77"/>
      <c r="C32" s="77"/>
      <c r="D32" s="77"/>
      <c r="E32" s="77"/>
      <c r="F32" s="76"/>
      <c r="G32" s="76"/>
      <c r="H32" s="77"/>
      <c r="I32" s="76"/>
    </row>
    <row r="33" spans="1:9" ht="16.5" thickBot="1">
      <c r="A33" s="77"/>
      <c r="B33" s="77"/>
      <c r="C33" s="77"/>
      <c r="D33" s="77"/>
      <c r="E33" s="77"/>
      <c r="F33" s="76"/>
      <c r="G33" s="76"/>
      <c r="H33" s="77"/>
      <c r="I33" s="76"/>
    </row>
    <row r="34" spans="1:9">
      <c r="A34" s="787" t="s">
        <v>151</v>
      </c>
      <c r="B34" s="102">
        <f>I11</f>
        <v>6.54E-2</v>
      </c>
      <c r="C34" s="102">
        <f>I13</f>
        <v>1.01E-2</v>
      </c>
      <c r="D34" s="103">
        <f>I15</f>
        <v>0.08</v>
      </c>
      <c r="E34" s="789" t="s">
        <v>155</v>
      </c>
      <c r="F34" s="76"/>
      <c r="G34" s="76"/>
      <c r="H34" s="77"/>
      <c r="I34" s="76"/>
    </row>
    <row r="35" spans="1:9" ht="16.5" thickBot="1">
      <c r="A35" s="788"/>
      <c r="B35" s="101"/>
      <c r="C35" s="104">
        <f>I21</f>
        <v>3.6499999999999998E-2</v>
      </c>
      <c r="D35" s="101"/>
      <c r="E35" s="790"/>
      <c r="F35" s="76"/>
      <c r="G35" s="76"/>
      <c r="H35" s="77"/>
      <c r="I35" s="76"/>
    </row>
    <row r="36" spans="1:9">
      <c r="A36" s="77"/>
      <c r="B36" s="77"/>
      <c r="C36" s="77"/>
      <c r="D36" s="77"/>
      <c r="E36" s="77"/>
      <c r="F36" s="76"/>
      <c r="G36" s="76"/>
      <c r="H36" s="77"/>
      <c r="I36" s="76"/>
    </row>
    <row r="37" spans="1:9" ht="16.5" thickBot="1">
      <c r="A37" s="77"/>
      <c r="B37" s="77"/>
      <c r="C37" s="77"/>
      <c r="D37" s="77"/>
      <c r="E37" s="77"/>
      <c r="F37" s="76"/>
      <c r="G37" s="76"/>
      <c r="H37" s="77"/>
      <c r="I37" s="76"/>
    </row>
    <row r="38" spans="1:9">
      <c r="A38" s="787" t="s">
        <v>151</v>
      </c>
      <c r="B38" s="105">
        <f>1+I11</f>
        <v>1.0653999999999999</v>
      </c>
      <c r="C38" s="105">
        <f>1+I13</f>
        <v>1.0101</v>
      </c>
      <c r="D38" s="106">
        <f>1+I15</f>
        <v>1.08</v>
      </c>
      <c r="E38" s="789" t="s">
        <v>155</v>
      </c>
      <c r="F38" s="76"/>
      <c r="G38" s="76"/>
      <c r="H38" s="77"/>
      <c r="I38" s="76"/>
    </row>
    <row r="39" spans="1:9" ht="16.5" thickBot="1">
      <c r="A39" s="788"/>
      <c r="B39" s="101"/>
      <c r="C39" s="107">
        <f>1-I21</f>
        <v>0.96350000000000002</v>
      </c>
      <c r="D39" s="101"/>
      <c r="E39" s="790"/>
      <c r="F39" s="76"/>
      <c r="G39" s="76"/>
      <c r="H39" s="77"/>
      <c r="I39" s="76"/>
    </row>
    <row r="40" spans="1:9">
      <c r="A40" s="77"/>
      <c r="B40" s="77"/>
      <c r="C40" s="77"/>
      <c r="D40" s="77"/>
      <c r="E40" s="77"/>
      <c r="F40" s="76"/>
      <c r="G40" s="76"/>
      <c r="H40" s="77"/>
      <c r="I40" s="76"/>
    </row>
    <row r="41" spans="1:9" ht="16.5" thickBot="1">
      <c r="A41" s="77"/>
      <c r="B41" s="77"/>
      <c r="C41" s="77"/>
      <c r="D41" s="77"/>
      <c r="E41" s="77"/>
      <c r="F41" s="76"/>
      <c r="G41" s="76"/>
      <c r="H41" s="77"/>
      <c r="I41" s="76"/>
    </row>
    <row r="42" spans="1:9">
      <c r="A42" s="787" t="s">
        <v>151</v>
      </c>
      <c r="B42" s="106">
        <f>B38*C38*D38</f>
        <v>1.1622533831999999</v>
      </c>
      <c r="C42" s="797" t="s">
        <v>157</v>
      </c>
      <c r="D42" s="77"/>
      <c r="E42" s="77"/>
      <c r="F42" s="76"/>
      <c r="G42" s="76"/>
      <c r="H42" s="77"/>
      <c r="I42" s="76"/>
    </row>
    <row r="43" spans="1:9" ht="16.5" thickBot="1">
      <c r="A43" s="788"/>
      <c r="B43" s="107">
        <f>C39</f>
        <v>0.96350000000000002</v>
      </c>
      <c r="C43" s="798"/>
      <c r="D43" s="77"/>
      <c r="E43" s="77"/>
      <c r="F43" s="76"/>
      <c r="G43" s="76"/>
      <c r="H43" s="77"/>
      <c r="I43" s="76"/>
    </row>
    <row r="44" spans="1:9">
      <c r="A44" s="77"/>
      <c r="B44" s="77"/>
      <c r="C44" s="77"/>
      <c r="D44" s="77"/>
      <c r="E44" s="77"/>
      <c r="F44" s="76"/>
      <c r="G44" s="76"/>
      <c r="H44" s="77"/>
      <c r="I44" s="76"/>
    </row>
    <row r="45" spans="1:9" ht="16.5" thickBot="1">
      <c r="A45" s="77"/>
      <c r="B45" s="77"/>
      <c r="C45" s="77"/>
      <c r="D45" s="77"/>
      <c r="E45" s="77"/>
      <c r="F45" s="76"/>
      <c r="G45" s="76"/>
      <c r="H45" s="77"/>
      <c r="I45" s="76"/>
    </row>
    <row r="46" spans="1:9">
      <c r="A46" s="787" t="s">
        <v>151</v>
      </c>
      <c r="B46" s="799">
        <f>B42/B43</f>
        <v>1.2062827018162947</v>
      </c>
      <c r="C46" s="797" t="s">
        <v>157</v>
      </c>
      <c r="D46" s="77"/>
      <c r="E46" s="801" t="s">
        <v>151</v>
      </c>
      <c r="F46" s="791">
        <f>B46-1</f>
        <v>0.20628270181629471</v>
      </c>
      <c r="G46" s="76"/>
      <c r="H46" s="77"/>
      <c r="I46" s="76"/>
    </row>
    <row r="47" spans="1:9" ht="16.5" thickBot="1">
      <c r="A47" s="788"/>
      <c r="B47" s="800"/>
      <c r="C47" s="798"/>
      <c r="D47" s="77"/>
      <c r="E47" s="802"/>
      <c r="F47" s="792"/>
      <c r="G47" s="76"/>
      <c r="H47" s="77"/>
      <c r="I47" s="76"/>
    </row>
    <row r="48" spans="1:9" ht="16.5" thickBot="1">
      <c r="A48" s="77"/>
      <c r="B48" s="77"/>
      <c r="C48" s="77"/>
      <c r="D48" s="77"/>
      <c r="E48" s="77"/>
      <c r="F48" s="76"/>
      <c r="G48" s="76"/>
      <c r="H48" s="77"/>
      <c r="I48" s="76"/>
    </row>
    <row r="49" spans="1:9">
      <c r="A49" s="108" t="s">
        <v>158</v>
      </c>
      <c r="B49" s="793" t="s">
        <v>159</v>
      </c>
      <c r="C49" s="793"/>
      <c r="D49" s="793"/>
      <c r="E49" s="793"/>
      <c r="F49" s="793"/>
      <c r="G49" s="793"/>
      <c r="H49" s="793"/>
      <c r="I49" s="794"/>
    </row>
    <row r="50" spans="1:9" ht="16.5" thickBot="1">
      <c r="A50" s="109"/>
      <c r="B50" s="795"/>
      <c r="C50" s="795"/>
      <c r="D50" s="795"/>
      <c r="E50" s="795"/>
      <c r="F50" s="795"/>
      <c r="G50" s="795"/>
      <c r="H50" s="795"/>
      <c r="I50" s="796"/>
    </row>
  </sheetData>
  <mergeCells count="49">
    <mergeCell ref="F46:F47"/>
    <mergeCell ref="B49:I50"/>
    <mergeCell ref="A38:A39"/>
    <mergeCell ref="E38:E39"/>
    <mergeCell ref="A42:A43"/>
    <mergeCell ref="C42:C43"/>
    <mergeCell ref="A46:A47"/>
    <mergeCell ref="B46:B47"/>
    <mergeCell ref="C46:C47"/>
    <mergeCell ref="E46:E47"/>
    <mergeCell ref="B27:E27"/>
    <mergeCell ref="B28:E28"/>
    <mergeCell ref="A30:A31"/>
    <mergeCell ref="E30:E31"/>
    <mergeCell ref="A34:A35"/>
    <mergeCell ref="E34:E35"/>
    <mergeCell ref="A22:H22"/>
    <mergeCell ref="A24:E24"/>
    <mergeCell ref="F24:I24"/>
    <mergeCell ref="B25:E25"/>
    <mergeCell ref="F25:F26"/>
    <mergeCell ref="G25:H25"/>
    <mergeCell ref="I25:I26"/>
    <mergeCell ref="B26:E26"/>
    <mergeCell ref="G26:H26"/>
    <mergeCell ref="A14:A15"/>
    <mergeCell ref="B14:E14"/>
    <mergeCell ref="B15:H15"/>
    <mergeCell ref="A16:A21"/>
    <mergeCell ref="B16:H16"/>
    <mergeCell ref="B17:E17"/>
    <mergeCell ref="B18:E18"/>
    <mergeCell ref="B19:E19"/>
    <mergeCell ref="B20:E20"/>
    <mergeCell ref="B21:H21"/>
    <mergeCell ref="A12:A13"/>
    <mergeCell ref="B12:E12"/>
    <mergeCell ref="B13:H13"/>
    <mergeCell ref="A1:I1"/>
    <mergeCell ref="A2:I2"/>
    <mergeCell ref="A4:I4"/>
    <mergeCell ref="A6:E7"/>
    <mergeCell ref="F6:H6"/>
    <mergeCell ref="I6:I7"/>
    <mergeCell ref="A8:A11"/>
    <mergeCell ref="B8:E8"/>
    <mergeCell ref="B9:E9"/>
    <mergeCell ref="B10:E10"/>
    <mergeCell ref="B11:H11"/>
  </mergeCells>
  <pageMargins left="0.511811024" right="0.511811024" top="1.54" bottom="0.78740157499999996" header="0.31496062000000002" footer="0.31496062000000002"/>
  <pageSetup paperSize="9" scale="74" orientation="portrait" r:id="rId1"/>
  <headerFooter>
    <oddHeader>&amp;C&amp;G</oddHeader>
  </headerFooter>
  <legacyDrawing r:id="rId2"/>
  <legacyDrawingHF r:id="rId3"/>
  <oleObjects>
    <oleObject progId="Equation.3" shapeId="6145" r:id="rId4"/>
  </oleObjects>
</worksheet>
</file>

<file path=xl/worksheets/sheet11.xml><?xml version="1.0" encoding="utf-8"?>
<worksheet xmlns="http://schemas.openxmlformats.org/spreadsheetml/2006/main" xmlns:r="http://schemas.openxmlformats.org/officeDocument/2006/relationships">
  <dimension ref="A2:Q32"/>
  <sheetViews>
    <sheetView showGridLines="0" view="pageBreakPreview" zoomScale="60" workbookViewId="0">
      <selection activeCell="N24" sqref="N24"/>
    </sheetView>
  </sheetViews>
  <sheetFormatPr defaultColWidth="10.75" defaultRowHeight="12.75"/>
  <cols>
    <col min="1" max="1" width="12.75" style="3" bestFit="1" customWidth="1"/>
    <col min="2" max="2" width="12.5" style="3" customWidth="1"/>
    <col min="3" max="3" width="65.75" style="3" customWidth="1"/>
    <col min="4" max="4" width="7.75" style="3" bestFit="1" customWidth="1"/>
    <col min="5" max="7" width="10.875" style="3" customWidth="1"/>
    <col min="8" max="8" width="17.375" style="3" bestFit="1" customWidth="1"/>
    <col min="9" max="9" width="1.75" style="3" customWidth="1"/>
    <col min="10" max="10" width="0" style="3" hidden="1" customWidth="1"/>
    <col min="11" max="11" width="11.75" style="3" hidden="1" customWidth="1"/>
    <col min="12" max="13" width="0" style="3" hidden="1" customWidth="1"/>
    <col min="14" max="14" width="82" style="3" bestFit="1" customWidth="1"/>
    <col min="15" max="16" width="10.75" style="3"/>
    <col min="17" max="17" width="11.5" style="3" bestFit="1" customWidth="1"/>
    <col min="18" max="18" width="10.75" style="3"/>
    <col min="19" max="19" width="68.5" style="3" bestFit="1" customWidth="1"/>
    <col min="20" max="16384" width="10.75" style="3"/>
  </cols>
  <sheetData>
    <row r="2" spans="1:17">
      <c r="A2" s="12" t="s">
        <v>25</v>
      </c>
      <c r="B2" s="9" t="s">
        <v>560</v>
      </c>
      <c r="C2" s="10"/>
      <c r="D2" s="10"/>
      <c r="E2" s="10"/>
      <c r="F2" s="10"/>
      <c r="G2" s="10"/>
      <c r="H2" s="11"/>
    </row>
    <row r="3" spans="1:17">
      <c r="A3" s="65" t="s">
        <v>15</v>
      </c>
      <c r="B3" s="66" t="s">
        <v>16</v>
      </c>
      <c r="C3" s="66" t="s">
        <v>18</v>
      </c>
      <c r="D3" s="66" t="s">
        <v>17</v>
      </c>
      <c r="E3" s="66" t="s">
        <v>19</v>
      </c>
      <c r="F3" s="66" t="s">
        <v>20</v>
      </c>
      <c r="G3" s="66" t="s">
        <v>24</v>
      </c>
      <c r="H3" s="67" t="s">
        <v>21</v>
      </c>
    </row>
    <row r="4" spans="1:17">
      <c r="A4" s="344"/>
      <c r="B4" s="349" t="s">
        <v>292</v>
      </c>
      <c r="C4" s="345"/>
      <c r="D4" s="345"/>
      <c r="E4" s="345"/>
      <c r="F4" s="345"/>
      <c r="G4" s="345"/>
      <c r="H4" s="346"/>
    </row>
    <row r="5" spans="1:17">
      <c r="A5" s="347"/>
      <c r="B5" s="338"/>
      <c r="C5" s="339" t="s">
        <v>293</v>
      </c>
      <c r="D5" s="340" t="s">
        <v>29</v>
      </c>
      <c r="E5" s="341">
        <v>1</v>
      </c>
      <c r="F5" s="342">
        <v>1</v>
      </c>
      <c r="G5" s="343">
        <v>116758.39999999999</v>
      </c>
      <c r="H5" s="348">
        <f t="shared" ref="H5:H7" si="0">ROUND(E5*F5*G5,2)</f>
        <v>116758.39999999999</v>
      </c>
    </row>
    <row r="6" spans="1:17">
      <c r="A6" s="16"/>
      <c r="B6" s="4"/>
      <c r="C6" s="5" t="s">
        <v>294</v>
      </c>
      <c r="D6" s="48" t="s">
        <v>29</v>
      </c>
      <c r="E6" s="49">
        <v>7538</v>
      </c>
      <c r="F6" s="50">
        <v>60</v>
      </c>
      <c r="G6" s="51">
        <v>0.35</v>
      </c>
      <c r="H6" s="19">
        <f t="shared" si="0"/>
        <v>158298</v>
      </c>
    </row>
    <row r="7" spans="1:17">
      <c r="A7" s="16"/>
      <c r="B7" s="4"/>
      <c r="C7" s="5" t="s">
        <v>295</v>
      </c>
      <c r="D7" s="48" t="s">
        <v>29</v>
      </c>
      <c r="E7" s="49">
        <v>469</v>
      </c>
      <c r="F7" s="50">
        <v>60</v>
      </c>
      <c r="G7" s="51">
        <v>0.75</v>
      </c>
      <c r="H7" s="19">
        <f t="shared" si="0"/>
        <v>21105</v>
      </c>
    </row>
    <row r="8" spans="1:17">
      <c r="A8" s="16"/>
      <c r="B8" s="365" t="s">
        <v>310</v>
      </c>
      <c r="C8" s="57"/>
      <c r="D8" s="48"/>
      <c r="E8" s="49"/>
      <c r="F8" s="50"/>
      <c r="G8" s="51"/>
      <c r="H8" s="19"/>
      <c r="N8" s="339"/>
      <c r="O8" s="339"/>
      <c r="P8" s="339"/>
      <c r="Q8" s="366"/>
    </row>
    <row r="9" spans="1:17">
      <c r="A9" s="16" t="s">
        <v>0</v>
      </c>
      <c r="B9" s="4" t="s">
        <v>1</v>
      </c>
      <c r="C9" s="57" t="s">
        <v>309</v>
      </c>
      <c r="D9" s="48" t="s">
        <v>22</v>
      </c>
      <c r="E9" s="49">
        <f>176*2</f>
        <v>352</v>
      </c>
      <c r="F9" s="50">
        <v>60</v>
      </c>
      <c r="G9" s="51">
        <v>28.17</v>
      </c>
      <c r="H9" s="19">
        <f>ROUND(E9*F9*G9,2)</f>
        <v>594950.40000000002</v>
      </c>
      <c r="N9" s="339"/>
      <c r="O9" s="339"/>
      <c r="P9" s="339"/>
      <c r="Q9" s="366"/>
    </row>
    <row r="10" spans="1:17">
      <c r="A10" s="69" t="s">
        <v>12</v>
      </c>
      <c r="B10" s="31" t="s">
        <v>13</v>
      </c>
      <c r="C10" s="367" t="s">
        <v>311</v>
      </c>
      <c r="D10" s="53" t="s">
        <v>29</v>
      </c>
      <c r="E10" s="54">
        <f>SUM(E9:E9)</f>
        <v>352</v>
      </c>
      <c r="F10" s="55">
        <v>60</v>
      </c>
      <c r="G10" s="56">
        <f>SUM(G9:G9)*0.03</f>
        <v>0.84510000000000007</v>
      </c>
      <c r="H10" s="35">
        <f>ROUND(E10*F10*G10,2)</f>
        <v>17848.509999999998</v>
      </c>
      <c r="J10" s="39"/>
      <c r="N10" s="339"/>
      <c r="O10" s="339"/>
      <c r="P10" s="339"/>
      <c r="Q10" s="366"/>
    </row>
    <row r="11" spans="1:17">
      <c r="A11" s="20"/>
      <c r="B11" s="21"/>
      <c r="C11" s="21"/>
      <c r="D11" s="21"/>
      <c r="E11" s="21"/>
      <c r="F11" s="21"/>
      <c r="G11" s="22" t="s">
        <v>31</v>
      </c>
      <c r="H11" s="23">
        <f>SUM(H5:H10)</f>
        <v>908960.31</v>
      </c>
      <c r="L11" s="339"/>
      <c r="M11" s="339"/>
      <c r="N11" s="339"/>
      <c r="O11" s="366"/>
    </row>
    <row r="12" spans="1:17">
      <c r="A12" s="36" t="s">
        <v>34</v>
      </c>
      <c r="B12" s="37"/>
      <c r="C12" s="37"/>
      <c r="D12" s="37"/>
      <c r="E12" s="37"/>
      <c r="F12" s="37"/>
      <c r="G12" s="37"/>
      <c r="H12" s="38"/>
      <c r="L12" s="339"/>
      <c r="M12" s="339"/>
      <c r="N12" s="339"/>
      <c r="O12" s="366"/>
    </row>
    <row r="13" spans="1:17" ht="49.15" customHeight="1">
      <c r="A13" s="713" t="s">
        <v>561</v>
      </c>
      <c r="B13" s="714"/>
      <c r="C13" s="714"/>
      <c r="D13" s="714"/>
      <c r="E13" s="714"/>
      <c r="F13" s="714"/>
      <c r="G13" s="714"/>
      <c r="H13" s="715"/>
      <c r="N13" s="339"/>
      <c r="O13" s="339"/>
      <c r="P13" s="339"/>
      <c r="Q13" s="366"/>
    </row>
    <row r="15" spans="1:17">
      <c r="F15" s="584"/>
      <c r="G15" s="585" t="s">
        <v>563</v>
      </c>
      <c r="H15" s="308">
        <f>(H11/100)</f>
        <v>9089.6031000000003</v>
      </c>
    </row>
    <row r="16" spans="1:17" ht="3.6" customHeight="1"/>
    <row r="17" spans="3:9">
      <c r="F17" s="584"/>
      <c r="G17" s="586" t="s">
        <v>564</v>
      </c>
      <c r="H17" s="522">
        <f>H11/SUM('3. INVESTIMENTO GLOBAL'!F6:F14)</f>
        <v>4.200319489201499E-2</v>
      </c>
    </row>
    <row r="19" spans="3:9" ht="15.75">
      <c r="C19" s="571" t="s">
        <v>565</v>
      </c>
      <c r="D19"/>
      <c r="E19"/>
      <c r="F19"/>
      <c r="G19"/>
      <c r="H19"/>
      <c r="I19"/>
    </row>
    <row r="20" spans="3:9">
      <c r="C20" s="579" t="s">
        <v>566</v>
      </c>
      <c r="E20" s="353" t="s">
        <v>567</v>
      </c>
      <c r="F20" s="353" t="s">
        <v>568</v>
      </c>
      <c r="G20" s="353" t="s">
        <v>569</v>
      </c>
      <c r="H20" s="6"/>
      <c r="I20" s="6"/>
    </row>
    <row r="21" spans="3:9">
      <c r="C21" s="580" t="s">
        <v>570</v>
      </c>
      <c r="E21" s="581">
        <v>3.49E-2</v>
      </c>
      <c r="F21" s="581">
        <v>6.2300000000000001E-2</v>
      </c>
      <c r="G21" s="581">
        <v>8.8700000000000001E-2</v>
      </c>
      <c r="H21" s="6"/>
      <c r="I21" s="6"/>
    </row>
    <row r="22" spans="3:9" ht="15.6" customHeight="1">
      <c r="C22" s="580" t="s">
        <v>571</v>
      </c>
      <c r="E22" s="581">
        <v>1.9800000000000002E-2</v>
      </c>
      <c r="F22" s="581">
        <v>6.9900000000000004E-2</v>
      </c>
      <c r="G22" s="581">
        <v>0.10680000000000001</v>
      </c>
      <c r="H22" s="6"/>
      <c r="I22" s="6"/>
    </row>
    <row r="23" spans="3:9" ht="15.6" customHeight="1">
      <c r="C23" s="580" t="s">
        <v>572</v>
      </c>
      <c r="E23" s="581">
        <v>4.1300000000000003E-2</v>
      </c>
      <c r="F23" s="581">
        <v>7.6399999999999996E-2</v>
      </c>
      <c r="G23" s="581">
        <v>0.1089</v>
      </c>
      <c r="H23" s="6"/>
      <c r="I23" s="6"/>
    </row>
    <row r="24" spans="3:9">
      <c r="C24" s="582" t="s">
        <v>573</v>
      </c>
      <c r="E24" s="583">
        <v>1.8499999999999999E-2</v>
      </c>
      <c r="F24" s="583">
        <v>5.0500000000000003E-2</v>
      </c>
      <c r="G24" s="583">
        <v>7.4499999999999997E-2</v>
      </c>
      <c r="H24" s="6"/>
      <c r="I24" s="6"/>
    </row>
    <row r="25" spans="3:9">
      <c r="C25" s="580" t="s">
        <v>574</v>
      </c>
      <c r="E25" s="581">
        <v>6.2300000000000001E-2</v>
      </c>
      <c r="F25" s="581">
        <v>7.4800000000000005E-2</v>
      </c>
      <c r="G25" s="581">
        <v>9.0899999999999995E-2</v>
      </c>
      <c r="H25" s="6"/>
      <c r="I25" s="6"/>
    </row>
    <row r="27" spans="3:9">
      <c r="C27" s="117" t="s">
        <v>268</v>
      </c>
      <c r="D27" s="350"/>
      <c r="E27" s="350"/>
      <c r="F27" s="351"/>
    </row>
    <row r="28" spans="3:9">
      <c r="C28" s="352" t="s">
        <v>269</v>
      </c>
      <c r="D28" s="353" t="s">
        <v>167</v>
      </c>
      <c r="E28" s="354" t="s">
        <v>270</v>
      </c>
      <c r="F28" s="353" t="s">
        <v>271</v>
      </c>
    </row>
    <row r="29" spans="3:9">
      <c r="C29" s="355" t="s">
        <v>272</v>
      </c>
      <c r="D29" s="356">
        <v>2</v>
      </c>
      <c r="E29" s="357">
        <v>1753.2</v>
      </c>
      <c r="F29" s="358">
        <f>D29*E29</f>
        <v>3506.4</v>
      </c>
    </row>
    <row r="30" spans="3:9">
      <c r="C30" s="336" t="s">
        <v>273</v>
      </c>
      <c r="D30" s="359">
        <v>1</v>
      </c>
      <c r="E30" s="360">
        <v>5317</v>
      </c>
      <c r="F30" s="361">
        <f t="shared" ref="F30:F32" si="1">D30*E30</f>
        <v>5317</v>
      </c>
    </row>
    <row r="31" spans="3:9">
      <c r="C31" s="336" t="s">
        <v>274</v>
      </c>
      <c r="D31" s="359">
        <v>1</v>
      </c>
      <c r="E31" s="360">
        <v>980</v>
      </c>
      <c r="F31" s="361">
        <f t="shared" si="1"/>
        <v>980</v>
      </c>
    </row>
    <row r="32" spans="3:9">
      <c r="C32" s="336" t="s">
        <v>275</v>
      </c>
      <c r="D32" s="359">
        <v>1</v>
      </c>
      <c r="E32" s="360">
        <v>60000</v>
      </c>
      <c r="F32" s="361">
        <f t="shared" si="1"/>
        <v>60000</v>
      </c>
    </row>
  </sheetData>
  <mergeCells count="1">
    <mergeCell ref="A13:H13"/>
  </mergeCells>
  <pageMargins left="0.51181102362204722" right="0.51181102362204722" top="1.73" bottom="0.78740157480314965" header="0.31496062992125984" footer="0.31496062992125984"/>
  <pageSetup paperSize="9" scale="83" orientation="landscape" r:id="rId1"/>
  <headerFooter>
    <oddHeader>&amp;C&amp;G</oddHeader>
  </headerFooter>
  <colBreaks count="1" manualBreakCount="1">
    <brk id="9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55"/>
  <sheetViews>
    <sheetView showGridLines="0" view="pageBreakPreview" topLeftCell="A10" zoomScale="60" workbookViewId="0">
      <selection activeCell="K13" sqref="K13"/>
    </sheetView>
  </sheetViews>
  <sheetFormatPr defaultColWidth="10.75" defaultRowHeight="15"/>
  <cols>
    <col min="1" max="1" width="29" style="587" customWidth="1"/>
    <col min="2" max="2" width="10.25" style="587" customWidth="1"/>
    <col min="3" max="3" width="7.25" style="587" customWidth="1"/>
    <col min="4" max="4" width="15.5" style="587" customWidth="1"/>
    <col min="5" max="5" width="4.75" style="587" customWidth="1"/>
    <col min="6" max="6" width="29" style="587" customWidth="1"/>
    <col min="7" max="7" width="10.25" style="587" customWidth="1"/>
    <col min="8" max="8" width="7.25" style="587" customWidth="1"/>
    <col min="9" max="9" width="15.5" style="587" customWidth="1"/>
    <col min="10" max="16384" width="10.75" style="587"/>
  </cols>
  <sheetData>
    <row r="1" spans="1:9">
      <c r="A1" s="803" t="s">
        <v>576</v>
      </c>
      <c r="B1" s="804"/>
      <c r="C1" s="804"/>
      <c r="D1" s="804"/>
      <c r="E1" s="804"/>
      <c r="F1" s="804"/>
      <c r="G1" s="804"/>
      <c r="H1" s="804"/>
      <c r="I1" s="805"/>
    </row>
    <row r="3" spans="1:9">
      <c r="A3" s="588" t="s">
        <v>577</v>
      </c>
      <c r="B3" s="589"/>
      <c r="C3" s="589"/>
      <c r="D3" s="590"/>
      <c r="F3" s="588" t="s">
        <v>578</v>
      </c>
      <c r="G3" s="591"/>
      <c r="H3" s="591"/>
      <c r="I3" s="592"/>
    </row>
    <row r="4" spans="1:9">
      <c r="A4" s="593" t="s">
        <v>579</v>
      </c>
      <c r="B4" s="594"/>
      <c r="C4" s="594"/>
      <c r="D4" s="595">
        <v>2</v>
      </c>
      <c r="F4" s="593" t="s">
        <v>579</v>
      </c>
      <c r="G4" s="594"/>
      <c r="H4" s="594"/>
      <c r="I4" s="595">
        <v>2.5</v>
      </c>
    </row>
    <row r="5" spans="1:9">
      <c r="A5" s="596" t="s">
        <v>580</v>
      </c>
      <c r="D5" s="597">
        <v>5.4</v>
      </c>
      <c r="F5" s="596" t="s">
        <v>580</v>
      </c>
      <c r="I5" s="597">
        <v>6.6</v>
      </c>
    </row>
    <row r="6" spans="1:9">
      <c r="A6" s="596" t="s">
        <v>581</v>
      </c>
      <c r="D6" s="597">
        <v>32</v>
      </c>
      <c r="F6" s="596" t="s">
        <v>581</v>
      </c>
      <c r="I6" s="597">
        <v>34</v>
      </c>
    </row>
    <row r="7" spans="1:9">
      <c r="A7" s="444" t="s">
        <v>582</v>
      </c>
      <c r="B7" s="598"/>
      <c r="C7" s="598"/>
      <c r="D7" s="599">
        <v>5200</v>
      </c>
      <c r="F7" s="444" t="s">
        <v>582</v>
      </c>
      <c r="G7" s="598"/>
      <c r="H7" s="598"/>
      <c r="I7" s="599">
        <v>7400</v>
      </c>
    </row>
    <row r="8" spans="1:9" ht="30">
      <c r="A8" s="810" t="s">
        <v>583</v>
      </c>
      <c r="B8" s="811"/>
      <c r="C8" s="812"/>
      <c r="D8" s="600" t="s">
        <v>584</v>
      </c>
      <c r="F8" s="810" t="s">
        <v>583</v>
      </c>
      <c r="G8" s="811"/>
      <c r="H8" s="812"/>
      <c r="I8" s="600" t="s">
        <v>584</v>
      </c>
    </row>
    <row r="9" spans="1:9">
      <c r="A9" s="596" t="s">
        <v>603</v>
      </c>
      <c r="B9" s="587">
        <v>130</v>
      </c>
      <c r="C9" s="587" t="s">
        <v>585</v>
      </c>
      <c r="D9" s="601">
        <f>TRUNC($D$7/B9,0)</f>
        <v>40</v>
      </c>
      <c r="F9" s="596" t="s">
        <v>603</v>
      </c>
      <c r="G9" s="594">
        <v>130</v>
      </c>
      <c r="H9" s="594" t="s">
        <v>585</v>
      </c>
      <c r="I9" s="602">
        <f>TRUNC($I$7/G9,0)</f>
        <v>56</v>
      </c>
    </row>
    <row r="10" spans="1:9">
      <c r="A10" s="603" t="s">
        <v>586</v>
      </c>
      <c r="B10" s="604">
        <v>90.6</v>
      </c>
      <c r="C10" s="604" t="s">
        <v>585</v>
      </c>
      <c r="D10" s="605">
        <f>TRUNC($D$7/B10,0)</f>
        <v>57</v>
      </c>
      <c r="F10" s="603" t="s">
        <v>586</v>
      </c>
      <c r="G10" s="604">
        <v>90.6</v>
      </c>
      <c r="H10" s="604" t="s">
        <v>585</v>
      </c>
      <c r="I10" s="605">
        <f>TRUNC($I$7/G10,0)</f>
        <v>81</v>
      </c>
    </row>
    <row r="12" spans="1:9">
      <c r="A12" s="588" t="s">
        <v>587</v>
      </c>
      <c r="B12" s="589"/>
      <c r="C12" s="589"/>
      <c r="D12" s="590"/>
      <c r="F12" s="588" t="s">
        <v>588</v>
      </c>
      <c r="G12" s="591"/>
      <c r="H12" s="591"/>
      <c r="I12" s="592"/>
    </row>
    <row r="13" spans="1:9">
      <c r="A13" s="593" t="s">
        <v>579</v>
      </c>
      <c r="B13" s="594"/>
      <c r="C13" s="594"/>
      <c r="D13" s="595">
        <v>3</v>
      </c>
      <c r="F13" s="593" t="s">
        <v>579</v>
      </c>
      <c r="G13" s="594"/>
      <c r="H13" s="594"/>
      <c r="I13" s="595">
        <v>2.5</v>
      </c>
    </row>
    <row r="14" spans="1:9">
      <c r="A14" s="596" t="s">
        <v>580</v>
      </c>
      <c r="D14" s="597">
        <v>9.6999999999999993</v>
      </c>
      <c r="F14" s="596" t="s">
        <v>580</v>
      </c>
      <c r="I14" s="597">
        <v>6.6</v>
      </c>
    </row>
    <row r="15" spans="1:9">
      <c r="A15" s="596" t="s">
        <v>581</v>
      </c>
      <c r="D15" s="597">
        <v>34</v>
      </c>
      <c r="F15" s="596" t="s">
        <v>581</v>
      </c>
      <c r="I15" s="597">
        <v>34</v>
      </c>
    </row>
    <row r="16" spans="1:9">
      <c r="A16" s="444" t="s">
        <v>582</v>
      </c>
      <c r="B16" s="598"/>
      <c r="C16" s="598"/>
      <c r="D16" s="599">
        <v>9800</v>
      </c>
      <c r="F16" s="444" t="s">
        <v>582</v>
      </c>
      <c r="G16" s="598"/>
      <c r="H16" s="598"/>
      <c r="I16" s="599">
        <v>15000</v>
      </c>
    </row>
    <row r="17" spans="1:9" ht="30">
      <c r="A17" s="810" t="s">
        <v>583</v>
      </c>
      <c r="B17" s="811"/>
      <c r="C17" s="812"/>
      <c r="D17" s="600" t="s">
        <v>584</v>
      </c>
      <c r="F17" s="810" t="s">
        <v>583</v>
      </c>
      <c r="G17" s="811"/>
      <c r="H17" s="812"/>
      <c r="I17" s="600" t="s">
        <v>584</v>
      </c>
    </row>
    <row r="18" spans="1:9">
      <c r="A18" s="596" t="s">
        <v>603</v>
      </c>
      <c r="B18" s="587">
        <v>130</v>
      </c>
      <c r="C18" s="587" t="s">
        <v>585</v>
      </c>
      <c r="D18" s="601">
        <f>TRUNC($D$16/B18,0)</f>
        <v>75</v>
      </c>
      <c r="F18" s="596" t="s">
        <v>603</v>
      </c>
      <c r="G18" s="594">
        <v>130</v>
      </c>
      <c r="H18" s="594" t="s">
        <v>585</v>
      </c>
      <c r="I18" s="602">
        <f>TRUNC($I$16/G18,0)</f>
        <v>115</v>
      </c>
    </row>
    <row r="19" spans="1:9">
      <c r="A19" s="603" t="s">
        <v>586</v>
      </c>
      <c r="B19" s="604">
        <v>90.6</v>
      </c>
      <c r="C19" s="604" t="s">
        <v>585</v>
      </c>
      <c r="D19" s="605">
        <f>TRUNC($D$16/B19,0)</f>
        <v>108</v>
      </c>
      <c r="F19" s="603" t="s">
        <v>586</v>
      </c>
      <c r="G19" s="604">
        <v>90.6</v>
      </c>
      <c r="H19" s="604" t="s">
        <v>585</v>
      </c>
      <c r="I19" s="605">
        <f>TRUNC($I$16/G19,0)</f>
        <v>165</v>
      </c>
    </row>
    <row r="21" spans="1:9">
      <c r="A21" s="588" t="s">
        <v>589</v>
      </c>
      <c r="B21" s="589"/>
      <c r="C21" s="589"/>
      <c r="D21" s="590"/>
      <c r="F21" s="588" t="s">
        <v>590</v>
      </c>
      <c r="G21" s="591"/>
      <c r="H21" s="591"/>
      <c r="I21" s="592"/>
    </row>
    <row r="22" spans="1:9">
      <c r="A22" s="593" t="s">
        <v>579</v>
      </c>
      <c r="B22" s="594"/>
      <c r="C22" s="594"/>
      <c r="D22" s="595">
        <v>3</v>
      </c>
      <c r="F22" s="593" t="s">
        <v>579</v>
      </c>
      <c r="G22" s="594"/>
      <c r="H22" s="594"/>
      <c r="I22" s="595">
        <v>3</v>
      </c>
    </row>
    <row r="23" spans="1:9">
      <c r="A23" s="596" t="s">
        <v>580</v>
      </c>
      <c r="D23" s="597">
        <v>9.9</v>
      </c>
      <c r="F23" s="596" t="s">
        <v>580</v>
      </c>
      <c r="I23" s="597">
        <v>13.2</v>
      </c>
    </row>
    <row r="24" spans="1:9">
      <c r="A24" s="596" t="s">
        <v>581</v>
      </c>
      <c r="D24" s="597">
        <v>36</v>
      </c>
      <c r="F24" s="596" t="s">
        <v>581</v>
      </c>
      <c r="I24" s="597">
        <v>40</v>
      </c>
    </row>
    <row r="25" spans="1:9">
      <c r="A25" s="444" t="s">
        <v>582</v>
      </c>
      <c r="B25" s="598"/>
      <c r="C25" s="598"/>
      <c r="D25" s="599">
        <v>16800</v>
      </c>
      <c r="F25" s="444" t="s">
        <v>582</v>
      </c>
      <c r="G25" s="598"/>
      <c r="H25" s="598"/>
      <c r="I25" s="599">
        <v>22200</v>
      </c>
    </row>
    <row r="26" spans="1:9" ht="30">
      <c r="A26" s="813" t="s">
        <v>583</v>
      </c>
      <c r="B26" s="814"/>
      <c r="C26" s="815"/>
      <c r="D26" s="625" t="s">
        <v>584</v>
      </c>
      <c r="F26" s="813" t="s">
        <v>583</v>
      </c>
      <c r="G26" s="814"/>
      <c r="H26" s="815"/>
      <c r="I26" s="625" t="s">
        <v>584</v>
      </c>
    </row>
    <row r="27" spans="1:9">
      <c r="A27" s="593" t="s">
        <v>603</v>
      </c>
      <c r="B27" s="594">
        <v>130</v>
      </c>
      <c r="C27" s="594" t="s">
        <v>585</v>
      </c>
      <c r="D27" s="602">
        <f>TRUNC($D$25/B27,0)</f>
        <v>129</v>
      </c>
      <c r="F27" s="593" t="s">
        <v>603</v>
      </c>
      <c r="G27" s="594">
        <v>130</v>
      </c>
      <c r="H27" s="594" t="s">
        <v>585</v>
      </c>
      <c r="I27" s="602">
        <f>TRUNC($I$25/G27,0)</f>
        <v>170</v>
      </c>
    </row>
    <row r="28" spans="1:9">
      <c r="A28" s="603" t="s">
        <v>586</v>
      </c>
      <c r="B28" s="604">
        <v>90.6</v>
      </c>
      <c r="C28" s="604" t="s">
        <v>585</v>
      </c>
      <c r="D28" s="605">
        <f>TRUNC($D$25/B28,0)</f>
        <v>185</v>
      </c>
      <c r="F28" s="603" t="s">
        <v>586</v>
      </c>
      <c r="G28" s="604">
        <v>90.6</v>
      </c>
      <c r="H28" s="604" t="s">
        <v>585</v>
      </c>
      <c r="I28" s="605">
        <f>TRUNC($I$25/G28,0)</f>
        <v>245</v>
      </c>
    </row>
    <row r="30" spans="1:9">
      <c r="A30" s="803" t="s">
        <v>591</v>
      </c>
      <c r="B30" s="804"/>
      <c r="C30" s="804"/>
      <c r="D30" s="804"/>
      <c r="E30" s="804"/>
      <c r="F30" s="804"/>
      <c r="G30" s="804"/>
      <c r="H30" s="804"/>
      <c r="I30" s="805"/>
    </row>
    <row r="32" spans="1:9">
      <c r="A32" s="716" t="s">
        <v>592</v>
      </c>
      <c r="B32" s="717"/>
      <c r="C32" s="717"/>
      <c r="D32" s="806"/>
      <c r="F32" s="716" t="s">
        <v>604</v>
      </c>
      <c r="G32" s="717"/>
      <c r="H32" s="717"/>
      <c r="I32" s="806"/>
    </row>
    <row r="33" spans="1:12">
      <c r="A33" s="606" t="s">
        <v>593</v>
      </c>
      <c r="B33" s="607"/>
      <c r="C33" s="607"/>
      <c r="D33" s="608" t="s">
        <v>594</v>
      </c>
      <c r="F33" s="606" t="s">
        <v>593</v>
      </c>
      <c r="G33" s="607"/>
      <c r="H33" s="607"/>
      <c r="I33" s="608" t="s">
        <v>594</v>
      </c>
    </row>
    <row r="34" spans="1:12">
      <c r="A34" s="628">
        <f>(D34+'2. ECONOMIA DE ENERGIA'!E60)*('2. ECONOMIA DE ENERGIA'!G60)*('2. ECONOMIA DE ENERGIA'!$G$75)*30/1000</f>
        <v>34737.292799999996</v>
      </c>
      <c r="B34" s="624"/>
      <c r="C34" s="624"/>
      <c r="D34" s="629">
        <f>D9</f>
        <v>40</v>
      </c>
      <c r="F34" s="628">
        <f>(I34+'2. ECONOMIA DE ENERGIA'!E60)*('2. ECONOMIA DE ENERGIA'!G60)*('2. ECONOMIA DE ENERGIA'!$G$75)*30/1000</f>
        <v>48967.027200000004</v>
      </c>
      <c r="G34" s="624"/>
      <c r="H34" s="624"/>
      <c r="I34" s="629">
        <f>D10</f>
        <v>57</v>
      </c>
      <c r="L34" s="627"/>
    </row>
    <row r="35" spans="1:12">
      <c r="A35" s="628">
        <f>(D35+'2. ECONOMIA DE ENERGIA'!E61)*('2. ECONOMIA DE ENERGIA'!G61)*('2. ECONOMIA DE ENERGIA'!$G$75)*30/1000</f>
        <v>30980.448</v>
      </c>
      <c r="B35" s="624"/>
      <c r="C35" s="624"/>
      <c r="D35" s="629">
        <f>I9</f>
        <v>56</v>
      </c>
      <c r="F35" s="628">
        <f>(I35+'2. ECONOMIA DE ENERGIA'!E61)*('2. ECONOMIA DE ENERGIA'!G61)*('2. ECONOMIA DE ENERGIA'!$G$75)*30/1000</f>
        <v>44450.207999999991</v>
      </c>
      <c r="G35" s="624"/>
      <c r="H35" s="624"/>
      <c r="I35" s="629">
        <f>I10</f>
        <v>81</v>
      </c>
      <c r="L35" s="627"/>
    </row>
    <row r="36" spans="1:12">
      <c r="A36" s="628">
        <f>(D36+'2. ECONOMIA DE ENERGIA'!E62)*('2. ECONOMIA DE ENERGIA'!G62)*('2. ECONOMIA DE ENERGIA'!$G$75)*30/1000</f>
        <v>33471.0144</v>
      </c>
      <c r="B36" s="624"/>
      <c r="C36" s="624"/>
      <c r="D36" s="629">
        <f>D18</f>
        <v>75</v>
      </c>
      <c r="F36" s="628">
        <f>(I36+'2. ECONOMIA DE ENERGIA'!E62)*('2. ECONOMIA DE ENERGIA'!G62)*('2. ECONOMIA DE ENERGIA'!$G$75)*30/1000</f>
        <v>47909.491200000004</v>
      </c>
      <c r="G36" s="624"/>
      <c r="H36" s="624"/>
      <c r="I36" s="629">
        <f>D19</f>
        <v>108</v>
      </c>
      <c r="L36" s="627"/>
    </row>
    <row r="37" spans="1:12">
      <c r="A37" s="628">
        <f>(D37+'2. ECONOMIA DE ENERGIA'!E63)*('2. ECONOMIA DE ENERGIA'!G63)*('2. ECONOMIA DE ENERGIA'!$G$75)*30/1000</f>
        <v>43604.179199999999</v>
      </c>
      <c r="B37" s="624"/>
      <c r="C37" s="624"/>
      <c r="D37" s="629">
        <f>I18</f>
        <v>115</v>
      </c>
      <c r="F37" s="628">
        <f>(I37+'2. ECONOMIA DE ENERGIA'!E63)*('2. ECONOMIA DE ENERGIA'!G63)*('2. ECONOMIA DE ENERGIA'!$G$75)*30/1000</f>
        <v>62318.419199999997</v>
      </c>
      <c r="G37" s="624"/>
      <c r="H37" s="624"/>
      <c r="I37" s="629">
        <f>I19</f>
        <v>165</v>
      </c>
      <c r="L37" s="627"/>
    </row>
    <row r="38" spans="1:12">
      <c r="A38" s="628">
        <f>(D38+'2. ECONOMIA DE ENERGIA'!E64)*('2. ECONOMIA DE ENERGIA'!G64)*('2. ECONOMIA DE ENERGIA'!$G$75)*30/1000</f>
        <v>27736.991999999998</v>
      </c>
      <c r="B38" s="624"/>
      <c r="C38" s="624"/>
      <c r="D38" s="629">
        <f>D27</f>
        <v>129</v>
      </c>
      <c r="F38" s="628">
        <f>(I38+'2. ECONOMIA DE ENERGIA'!E64)*('2. ECONOMIA DE ENERGIA'!G64)*('2. ECONOMIA DE ENERGIA'!$G$75)*30/1000</f>
        <v>39639.455999999998</v>
      </c>
      <c r="G38" s="624"/>
      <c r="H38" s="624"/>
      <c r="I38" s="629">
        <f>D28</f>
        <v>185</v>
      </c>
      <c r="L38" s="627"/>
    </row>
    <row r="39" spans="1:12">
      <c r="A39" s="628">
        <f>(D39+'2. ECONOMIA DE ENERGIA'!E65)*('2. ECONOMIA DE ENERGIA'!G65)*('2. ECONOMIA DE ENERGIA'!$G$75)*30/1000</f>
        <v>27797.817599999998</v>
      </c>
      <c r="B39" s="624"/>
      <c r="C39" s="624"/>
      <c r="D39" s="629">
        <f>'[1]ECONOMIA DE ENERGIA'!A64</f>
        <v>170</v>
      </c>
      <c r="F39" s="628">
        <f>(I39+'2. ECONOMIA DE ENERGIA'!E65)*('2. ECONOMIA DE ENERGIA'!G65)*('2. ECONOMIA DE ENERGIA'!$G$75)*30/1000</f>
        <v>39954.297599999991</v>
      </c>
      <c r="G39" s="624"/>
      <c r="H39" s="624"/>
      <c r="I39" s="629">
        <f>I28</f>
        <v>245</v>
      </c>
      <c r="L39" s="627"/>
    </row>
    <row r="40" spans="1:12">
      <c r="A40" s="609">
        <f>SUM(A34:A39)</f>
        <v>198327.74400000001</v>
      </c>
      <c r="B40" s="610"/>
      <c r="C40" s="611" t="s">
        <v>595</v>
      </c>
      <c r="D40" s="298">
        <v>0.61247200000000002</v>
      </c>
      <c r="E40" s="612"/>
      <c r="F40" s="609">
        <f>SUM(F34:F39)</f>
        <v>283238.89919999999</v>
      </c>
      <c r="G40" s="610"/>
      <c r="H40" s="611" t="s">
        <v>595</v>
      </c>
      <c r="I40" s="298">
        <f>'[1]ECONOMIA DE ENERGIA'!W20</f>
        <v>0.61247200000000002</v>
      </c>
    </row>
    <row r="41" spans="1:12">
      <c r="A41" s="613"/>
      <c r="E41" s="614"/>
    </row>
    <row r="42" spans="1:12">
      <c r="A42" s="615"/>
      <c r="B42" s="616"/>
      <c r="C42" s="318" t="s">
        <v>596</v>
      </c>
      <c r="D42" s="617">
        <f>'2. ECONOMIA DE ENERGIA'!I51</f>
        <v>582654.78144000005</v>
      </c>
      <c r="F42" s="615"/>
      <c r="G42" s="616"/>
      <c r="H42" s="318" t="s">
        <v>596</v>
      </c>
      <c r="I42" s="617">
        <f>'2. ECONOMIA DE ENERGIA'!I51</f>
        <v>582654.78144000005</v>
      </c>
    </row>
    <row r="43" spans="1:12">
      <c r="A43" s="618"/>
      <c r="B43" s="619"/>
      <c r="C43" s="322" t="s">
        <v>597</v>
      </c>
      <c r="D43" s="617">
        <f>SUM('2. ECONOMIA DE ENERGIA'!I66:I72)+A40</f>
        <v>201498.96960000001</v>
      </c>
      <c r="F43" s="618"/>
      <c r="G43" s="619"/>
      <c r="H43" s="322" t="s">
        <v>597</v>
      </c>
      <c r="I43" s="617">
        <f>SUM('2. ECONOMIA DE ENERGIA'!I66:I72)+F40</f>
        <v>286410.12479999999</v>
      </c>
    </row>
    <row r="44" spans="1:12">
      <c r="A44" s="618"/>
      <c r="B44" s="619"/>
      <c r="C44" s="322" t="s">
        <v>252</v>
      </c>
      <c r="D44" s="443">
        <f>D42-D43</f>
        <v>381155.81184000004</v>
      </c>
      <c r="F44" s="618"/>
      <c r="G44" s="619"/>
      <c r="H44" s="322" t="s">
        <v>252</v>
      </c>
      <c r="I44" s="443">
        <f>I42-I43</f>
        <v>296244.65664000006</v>
      </c>
    </row>
    <row r="45" spans="1:12">
      <c r="A45" s="620"/>
      <c r="B45" s="621"/>
      <c r="C45" s="327" t="s">
        <v>598</v>
      </c>
      <c r="D45" s="622">
        <f>D44/D42</f>
        <v>0.65417091557713447</v>
      </c>
      <c r="F45" s="620"/>
      <c r="G45" s="621"/>
      <c r="H45" s="327" t="s">
        <v>598</v>
      </c>
      <c r="I45" s="622">
        <f>I44/I42</f>
        <v>0.50843941571688001</v>
      </c>
    </row>
    <row r="47" spans="1:12">
      <c r="A47" s="615"/>
      <c r="B47" s="317"/>
      <c r="C47" s="318" t="s">
        <v>599</v>
      </c>
      <c r="D47" s="280">
        <f>D42*D40</f>
        <v>356859.73929811973</v>
      </c>
      <c r="F47" s="615"/>
      <c r="G47" s="317"/>
      <c r="H47" s="318" t="s">
        <v>599</v>
      </c>
      <c r="I47" s="280">
        <f>I42*I40</f>
        <v>356859.73929811973</v>
      </c>
    </row>
    <row r="48" spans="1:12">
      <c r="A48" s="618"/>
      <c r="B48" s="321"/>
      <c r="C48" s="322" t="s">
        <v>600</v>
      </c>
      <c r="D48" s="280">
        <f>D43*D40</f>
        <v>123412.47690885121</v>
      </c>
      <c r="F48" s="618"/>
      <c r="G48" s="321"/>
      <c r="H48" s="322" t="s">
        <v>600</v>
      </c>
      <c r="I48" s="280">
        <f>I43*I40</f>
        <v>175418.18195650561</v>
      </c>
    </row>
    <row r="49" spans="1:9">
      <c r="A49" s="620"/>
      <c r="B49" s="326"/>
      <c r="C49" s="327" t="s">
        <v>601</v>
      </c>
      <c r="D49" s="296">
        <f>D47-D48</f>
        <v>233447.26238926852</v>
      </c>
      <c r="F49" s="620"/>
      <c r="G49" s="326"/>
      <c r="H49" s="327" t="s">
        <v>601</v>
      </c>
      <c r="I49" s="296">
        <f>I47-I48</f>
        <v>181441.55734161413</v>
      </c>
    </row>
    <row r="51" spans="1:9">
      <c r="A51" s="615"/>
      <c r="B51" s="616"/>
      <c r="C51" s="318" t="s">
        <v>235</v>
      </c>
      <c r="D51" s="623">
        <f>D49*12</f>
        <v>2801367.1486712224</v>
      </c>
      <c r="F51" s="615"/>
      <c r="G51" s="616"/>
      <c r="H51" s="318" t="s">
        <v>235</v>
      </c>
      <c r="I51" s="623">
        <f>I49*12</f>
        <v>2177298.6880993694</v>
      </c>
    </row>
    <row r="52" spans="1:9">
      <c r="A52" s="620"/>
      <c r="B52" s="621"/>
      <c r="C52" s="327" t="s">
        <v>602</v>
      </c>
      <c r="D52" s="623">
        <f>D49*120</f>
        <v>28013671.486712221</v>
      </c>
      <c r="F52" s="620"/>
      <c r="G52" s="621"/>
      <c r="H52" s="327" t="s">
        <v>602</v>
      </c>
      <c r="I52" s="623">
        <f>I49*120</f>
        <v>21772986.880993694</v>
      </c>
    </row>
    <row r="54" spans="1:9">
      <c r="A54" s="630" t="s">
        <v>606</v>
      </c>
    </row>
    <row r="55" spans="1:9" ht="76.900000000000006" customHeight="1">
      <c r="A55" s="807" t="s">
        <v>605</v>
      </c>
      <c r="B55" s="808"/>
      <c r="C55" s="808"/>
      <c r="D55" s="808"/>
      <c r="E55" s="808"/>
      <c r="F55" s="808"/>
      <c r="G55" s="808"/>
      <c r="H55" s="808"/>
      <c r="I55" s="809"/>
    </row>
  </sheetData>
  <mergeCells count="11">
    <mergeCell ref="A30:I30"/>
    <mergeCell ref="A32:D32"/>
    <mergeCell ref="F32:I32"/>
    <mergeCell ref="A55:I55"/>
    <mergeCell ref="A1:I1"/>
    <mergeCell ref="A8:C8"/>
    <mergeCell ref="F8:H8"/>
    <mergeCell ref="A17:C17"/>
    <mergeCell ref="F17:H17"/>
    <mergeCell ref="A26:C26"/>
    <mergeCell ref="F26:H26"/>
  </mergeCells>
  <pageMargins left="0.511811024" right="0.511811024" top="1.3" bottom="0.78740157499999996" header="0.31496062000000002" footer="0.31496062000000002"/>
  <pageSetup paperSize="9" scale="66" orientation="portrait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2:BK188"/>
  <sheetViews>
    <sheetView showGridLines="0" view="pageBreakPreview" topLeftCell="A121" zoomScale="41" zoomScaleSheetLayoutView="41" workbookViewId="0">
      <selection activeCell="O157" sqref="O157"/>
    </sheetView>
  </sheetViews>
  <sheetFormatPr defaultColWidth="10.75" defaultRowHeight="15"/>
  <cols>
    <col min="1" max="1" width="32.75" style="376" bestFit="1" customWidth="1"/>
    <col min="2" max="2" width="14" style="376" bestFit="1" customWidth="1"/>
    <col min="3" max="5" width="11.25" style="376" customWidth="1"/>
    <col min="6" max="7" width="11.125" style="376" bestFit="1" customWidth="1"/>
    <col min="8" max="9" width="11.375" style="376" bestFit="1" customWidth="1"/>
    <col min="10" max="11" width="11.125" style="376" bestFit="1" customWidth="1"/>
    <col min="12" max="12" width="11.125" style="376" customWidth="1"/>
    <col min="13" max="13" width="15.5" style="376" bestFit="1" customWidth="1"/>
    <col min="14" max="17" width="15.25" style="376" bestFit="1" customWidth="1"/>
    <col min="18" max="63" width="13.75" style="376" customWidth="1"/>
    <col min="64" max="16384" width="10.75" style="376"/>
  </cols>
  <sheetData>
    <row r="2" spans="1:63">
      <c r="A2" s="392" t="s">
        <v>342</v>
      </c>
    </row>
    <row r="3" spans="1:63">
      <c r="E3" s="393"/>
      <c r="F3" s="393"/>
      <c r="G3" s="393"/>
      <c r="I3" s="716" t="s">
        <v>343</v>
      </c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806"/>
    </row>
    <row r="4" spans="1:63">
      <c r="A4" s="394" t="s">
        <v>344</v>
      </c>
      <c r="B4" s="395" t="s">
        <v>345</v>
      </c>
      <c r="C4" s="396"/>
      <c r="D4" s="720"/>
      <c r="E4" s="720"/>
      <c r="F4" s="720"/>
      <c r="G4" s="396"/>
      <c r="H4" s="397"/>
      <c r="I4" s="398" t="s">
        <v>346</v>
      </c>
      <c r="J4" s="398" t="s">
        <v>347</v>
      </c>
      <c r="K4" s="398" t="s">
        <v>348</v>
      </c>
      <c r="L4" s="398" t="s">
        <v>349</v>
      </c>
      <c r="M4" s="398" t="s">
        <v>350</v>
      </c>
      <c r="N4" s="399"/>
      <c r="O4" s="398"/>
      <c r="P4" s="398"/>
      <c r="Q4" s="398"/>
      <c r="R4" s="398"/>
      <c r="S4" s="398"/>
      <c r="T4" s="398"/>
      <c r="U4" s="398"/>
    </row>
    <row r="5" spans="1:63">
      <c r="A5" s="282" t="s">
        <v>449</v>
      </c>
      <c r="B5" s="401">
        <f>'3. INVESTIMENTO GLOBAL'!I6</f>
        <v>2395.8932580068358</v>
      </c>
      <c r="D5" s="449"/>
      <c r="E5" s="449"/>
      <c r="F5" s="450"/>
      <c r="G5" s="402"/>
      <c r="H5" s="397"/>
      <c r="I5" s="403">
        <f>$B5/57</f>
        <v>42.033215052751508</v>
      </c>
      <c r="J5" s="403">
        <f>$B5/56</f>
        <v>42.783808178693498</v>
      </c>
      <c r="K5" s="403">
        <f>$B5/55</f>
        <v>43.561695600124288</v>
      </c>
      <c r="L5" s="403">
        <f>$B5/54</f>
        <v>44.368393666793253</v>
      </c>
      <c r="M5" s="403">
        <f>$B5/53</f>
        <v>45.205533169940296</v>
      </c>
      <c r="N5" s="404"/>
      <c r="O5" s="403"/>
      <c r="P5" s="403"/>
      <c r="Q5" s="401"/>
      <c r="R5" s="401"/>
      <c r="S5" s="401"/>
      <c r="T5" s="401"/>
      <c r="U5" s="401"/>
    </row>
    <row r="6" spans="1:63">
      <c r="A6" s="447" t="s">
        <v>450</v>
      </c>
      <c r="B6" s="403">
        <f>'3. INVESTIMENTO GLOBAL'!I7</f>
        <v>2460.8650256940214</v>
      </c>
      <c r="D6" s="449"/>
      <c r="E6" s="449"/>
      <c r="F6" s="450"/>
      <c r="G6" s="402"/>
      <c r="H6" s="406"/>
      <c r="I6" s="403">
        <f>$B6/57</f>
        <v>43.173070626210901</v>
      </c>
      <c r="J6" s="403">
        <f t="shared" ref="J6:J13" si="0">$B6/56</f>
        <v>43.944018315964669</v>
      </c>
      <c r="K6" s="403">
        <f t="shared" ref="K6:K13" si="1">$B6/55</f>
        <v>44.743000467164023</v>
      </c>
      <c r="L6" s="403">
        <f t="shared" ref="L6:L13" si="2">$B6/54</f>
        <v>45.571574549889284</v>
      </c>
      <c r="M6" s="403">
        <f t="shared" ref="M6:M13" si="3">$B6/53</f>
        <v>46.431415579132477</v>
      </c>
      <c r="N6" s="404"/>
      <c r="O6" s="403"/>
      <c r="P6" s="403"/>
      <c r="Q6" s="403"/>
      <c r="R6" s="403"/>
      <c r="S6" s="403"/>
      <c r="T6" s="403"/>
      <c r="U6" s="403"/>
    </row>
    <row r="7" spans="1:63">
      <c r="A7" s="447" t="s">
        <v>451</v>
      </c>
      <c r="B7" s="403">
        <f>'3. INVESTIMENTO GLOBAL'!I8</f>
        <v>3072.1954364570247</v>
      </c>
      <c r="D7" s="449"/>
      <c r="E7" s="449"/>
      <c r="F7" s="450"/>
      <c r="G7" s="402"/>
      <c r="H7" s="406"/>
      <c r="I7" s="403">
        <f t="shared" ref="I7:I10" si="4">$B7/57</f>
        <v>53.898165551877625</v>
      </c>
      <c r="J7" s="403">
        <f t="shared" si="0"/>
        <v>54.860632793875439</v>
      </c>
      <c r="K7" s="403">
        <f t="shared" si="1"/>
        <v>55.858098844673179</v>
      </c>
      <c r="L7" s="403">
        <f t="shared" si="2"/>
        <v>56.892508082537496</v>
      </c>
      <c r="M7" s="403">
        <f t="shared" si="3"/>
        <v>57.965951631264616</v>
      </c>
      <c r="N7" s="404"/>
      <c r="O7" s="403"/>
      <c r="P7" s="403"/>
      <c r="Q7" s="403"/>
      <c r="R7" s="403"/>
      <c r="S7" s="403"/>
      <c r="T7" s="403"/>
      <c r="U7" s="403"/>
    </row>
    <row r="8" spans="1:63">
      <c r="A8" s="447" t="s">
        <v>452</v>
      </c>
      <c r="B8" s="403">
        <f>'3. INVESTIMENTO GLOBAL'!I9</f>
        <v>3136.3878948780844</v>
      </c>
      <c r="D8" s="449"/>
      <c r="E8" s="449"/>
      <c r="F8" s="450"/>
      <c r="G8" s="402"/>
      <c r="H8" s="407"/>
      <c r="I8" s="403">
        <f t="shared" si="4"/>
        <v>55.024349032948848</v>
      </c>
      <c r="J8" s="403">
        <f t="shared" si="0"/>
        <v>56.006926694251504</v>
      </c>
      <c r="K8" s="403">
        <f t="shared" si="1"/>
        <v>57.025234452328803</v>
      </c>
      <c r="L8" s="403">
        <f t="shared" si="2"/>
        <v>58.081257312557121</v>
      </c>
      <c r="M8" s="403">
        <f t="shared" si="3"/>
        <v>59.177130092039327</v>
      </c>
      <c r="N8" s="404"/>
      <c r="O8" s="403"/>
      <c r="P8" s="403"/>
      <c r="Q8" s="403"/>
      <c r="R8" s="403"/>
      <c r="S8" s="403"/>
      <c r="T8" s="403"/>
      <c r="U8" s="403"/>
    </row>
    <row r="9" spans="1:63">
      <c r="A9" s="447" t="s">
        <v>453</v>
      </c>
      <c r="B9" s="403">
        <f>'3. INVESTIMENTO GLOBAL'!I10</f>
        <v>4062.810639241854</v>
      </c>
      <c r="D9" s="449"/>
      <c r="E9" s="449"/>
      <c r="F9" s="450"/>
      <c r="G9" s="402"/>
      <c r="H9" s="397"/>
      <c r="I9" s="403">
        <f t="shared" si="4"/>
        <v>71.277379635822001</v>
      </c>
      <c r="J9" s="403">
        <f t="shared" si="0"/>
        <v>72.550189986461675</v>
      </c>
      <c r="K9" s="403">
        <f t="shared" si="1"/>
        <v>73.869284349851895</v>
      </c>
      <c r="L9" s="403">
        <f t="shared" si="2"/>
        <v>75.237234060034339</v>
      </c>
      <c r="M9" s="403">
        <f t="shared" si="3"/>
        <v>76.656804513997244</v>
      </c>
      <c r="N9" s="404"/>
      <c r="O9" s="403"/>
      <c r="P9" s="403"/>
      <c r="Q9" s="403"/>
      <c r="R9" s="403"/>
      <c r="S9" s="403"/>
      <c r="T9" s="403"/>
      <c r="U9" s="403"/>
    </row>
    <row r="10" spans="1:63">
      <c r="A10" s="447" t="s">
        <v>454</v>
      </c>
      <c r="B10" s="403">
        <f>'3. INVESTIMENTO GLOBAL'!I11</f>
        <v>4579.0401805288948</v>
      </c>
      <c r="D10" s="449"/>
      <c r="E10" s="449"/>
      <c r="F10" s="450"/>
      <c r="G10" s="402"/>
      <c r="H10" s="397"/>
      <c r="I10" s="403">
        <f t="shared" si="4"/>
        <v>80.334038254892889</v>
      </c>
      <c r="J10" s="403">
        <f t="shared" si="0"/>
        <v>81.768574652301695</v>
      </c>
      <c r="K10" s="403">
        <f t="shared" si="1"/>
        <v>83.255276009616267</v>
      </c>
      <c r="L10" s="403">
        <f t="shared" si="2"/>
        <v>84.797040380164717</v>
      </c>
      <c r="M10" s="403">
        <f t="shared" si="3"/>
        <v>86.396984538281032</v>
      </c>
      <c r="N10" s="404"/>
      <c r="O10" s="403"/>
      <c r="P10" s="403"/>
      <c r="Q10" s="403"/>
      <c r="R10" s="403"/>
      <c r="S10" s="403"/>
      <c r="T10" s="403"/>
      <c r="U10" s="403"/>
    </row>
    <row r="11" spans="1:63">
      <c r="A11" s="447" t="s">
        <v>351</v>
      </c>
      <c r="B11" s="403">
        <f>'3. INVESTIMENTO GLOBAL'!I12</f>
        <v>755.33922144051974</v>
      </c>
      <c r="D11" s="449"/>
      <c r="E11" s="449"/>
      <c r="F11" s="450"/>
      <c r="G11" s="402"/>
      <c r="H11" s="407"/>
      <c r="I11" s="448">
        <f>ROUNDDOWN($B11/57,2)</f>
        <v>13.25</v>
      </c>
      <c r="J11" s="448">
        <f>ROUNDDOWN($B11/56,2)</f>
        <v>13.48</v>
      </c>
      <c r="K11" s="448">
        <f t="shared" si="1"/>
        <v>13.733440389827631</v>
      </c>
      <c r="L11" s="448">
        <f t="shared" si="2"/>
        <v>13.987763360009625</v>
      </c>
      <c r="M11" s="448">
        <f t="shared" si="3"/>
        <v>14.251683423406032</v>
      </c>
      <c r="N11" s="404"/>
      <c r="O11" s="403"/>
      <c r="P11" s="403"/>
      <c r="Q11" s="403"/>
      <c r="R11" s="403"/>
      <c r="S11" s="403"/>
      <c r="T11" s="403"/>
      <c r="U11" s="403"/>
    </row>
    <row r="12" spans="1:63">
      <c r="A12" s="447" t="s">
        <v>291</v>
      </c>
      <c r="B12" s="403">
        <f>'3. INVESTIMENTO GLOBAL'!I13</f>
        <v>924.10995557397689</v>
      </c>
      <c r="D12" s="449"/>
      <c r="E12" s="449"/>
      <c r="F12" s="450"/>
      <c r="G12" s="402"/>
      <c r="H12" s="397"/>
      <c r="I12" s="448">
        <f>ROUND($B12/57,2)</f>
        <v>16.21</v>
      </c>
      <c r="J12" s="448">
        <f>ROUND($B12/56,2)</f>
        <v>16.5</v>
      </c>
      <c r="K12" s="448">
        <f>ROUNDDOWN($B12/55,2)</f>
        <v>16.8</v>
      </c>
      <c r="L12" s="448">
        <f t="shared" si="2"/>
        <v>17.113147325444018</v>
      </c>
      <c r="M12" s="448">
        <f t="shared" si="3"/>
        <v>17.436036897622206</v>
      </c>
      <c r="N12" s="404"/>
      <c r="O12" s="403"/>
      <c r="P12" s="403"/>
      <c r="Q12" s="403"/>
      <c r="R12" s="403"/>
      <c r="S12" s="403"/>
      <c r="T12" s="403"/>
      <c r="U12" s="403"/>
    </row>
    <row r="13" spans="1:63">
      <c r="A13" s="291" t="s">
        <v>352</v>
      </c>
      <c r="B13" s="409">
        <f>'3. INVESTIMENTO GLOBAL'!I14</f>
        <v>507.78283440257786</v>
      </c>
      <c r="D13" s="449"/>
      <c r="E13" s="449"/>
      <c r="F13" s="450"/>
      <c r="G13" s="402"/>
      <c r="H13" s="397"/>
      <c r="I13" s="409">
        <f>ROUNDDOWN($B13/57,2)</f>
        <v>8.9</v>
      </c>
      <c r="J13" s="409">
        <f t="shared" si="0"/>
        <v>9.067550614331747</v>
      </c>
      <c r="K13" s="409">
        <f t="shared" si="1"/>
        <v>9.2324151709559619</v>
      </c>
      <c r="L13" s="409">
        <f t="shared" si="2"/>
        <v>9.4033858222699607</v>
      </c>
      <c r="M13" s="409">
        <f t="shared" si="3"/>
        <v>9.5808081962750542</v>
      </c>
      <c r="N13" s="410"/>
      <c r="O13" s="409"/>
      <c r="P13" s="409"/>
      <c r="Q13" s="409"/>
      <c r="R13" s="409"/>
      <c r="S13" s="409"/>
      <c r="T13" s="409"/>
      <c r="U13" s="409"/>
    </row>
    <row r="14" spans="1:63">
      <c r="E14" s="393"/>
      <c r="F14" s="393"/>
      <c r="G14" s="393"/>
    </row>
    <row r="16" spans="1:63">
      <c r="B16" s="411" t="s">
        <v>131</v>
      </c>
      <c r="C16" s="411" t="s">
        <v>353</v>
      </c>
      <c r="D16" s="411" t="s">
        <v>354</v>
      </c>
      <c r="E16" s="411" t="s">
        <v>355</v>
      </c>
      <c r="F16" s="411" t="s">
        <v>356</v>
      </c>
      <c r="G16" s="411" t="s">
        <v>357</v>
      </c>
      <c r="H16" s="411" t="s">
        <v>358</v>
      </c>
      <c r="I16" s="411" t="s">
        <v>359</v>
      </c>
      <c r="J16" s="412" t="s">
        <v>360</v>
      </c>
      <c r="K16" s="411" t="s">
        <v>361</v>
      </c>
      <c r="L16" s="411" t="s">
        <v>362</v>
      </c>
      <c r="BK16" s="413"/>
    </row>
    <row r="17" spans="1:63">
      <c r="A17" s="414" t="s">
        <v>413</v>
      </c>
      <c r="B17" s="415"/>
      <c r="C17" s="416">
        <v>1</v>
      </c>
      <c r="D17" s="417">
        <v>1</v>
      </c>
      <c r="E17" s="416"/>
      <c r="F17" s="418"/>
      <c r="G17" s="418"/>
      <c r="H17" s="418"/>
      <c r="I17" s="418"/>
      <c r="J17" s="418"/>
      <c r="K17" s="418"/>
      <c r="L17" s="418"/>
    </row>
    <row r="18" spans="1:63" ht="16.149999999999999" customHeight="1">
      <c r="A18" s="420" t="s">
        <v>414</v>
      </c>
      <c r="B18" s="421">
        <f>'3. INVESTIMENTO GLOBAL'!D6</f>
        <v>2422</v>
      </c>
      <c r="C18" s="721" t="s">
        <v>415</v>
      </c>
      <c r="D18" s="722"/>
      <c r="E18" s="422">
        <v>0</v>
      </c>
      <c r="F18" s="422">
        <v>0</v>
      </c>
      <c r="G18" s="422">
        <v>0</v>
      </c>
      <c r="H18" s="422">
        <v>1000</v>
      </c>
      <c r="I18" s="422">
        <v>1422</v>
      </c>
      <c r="J18" s="422">
        <v>0</v>
      </c>
      <c r="K18" s="422">
        <v>0</v>
      </c>
      <c r="L18" s="422">
        <v>0</v>
      </c>
    </row>
    <row r="19" spans="1:63">
      <c r="A19" s="291" t="s">
        <v>416</v>
      </c>
      <c r="B19" s="409">
        <f>SUM(E19:BJ19)</f>
        <v>370320.37917013827</v>
      </c>
      <c r="C19" s="723"/>
      <c r="D19" s="724"/>
      <c r="E19" s="423"/>
      <c r="F19" s="423">
        <f>SUM($D18:E18)*$I$5</f>
        <v>0</v>
      </c>
      <c r="G19" s="423">
        <f t="shared" ref="G19:L19" si="5">(F19)+(F18*J5)</f>
        <v>0</v>
      </c>
      <c r="H19" s="423">
        <f t="shared" si="5"/>
        <v>0</v>
      </c>
      <c r="I19" s="423">
        <f t="shared" si="5"/>
        <v>44368.39366679325</v>
      </c>
      <c r="J19" s="423">
        <f t="shared" si="5"/>
        <v>108650.66183444834</v>
      </c>
      <c r="K19" s="423">
        <f t="shared" si="5"/>
        <v>108650.66183444834</v>
      </c>
      <c r="L19" s="423">
        <f t="shared" si="5"/>
        <v>108650.66183444834</v>
      </c>
      <c r="BK19" s="404"/>
    </row>
    <row r="20" spans="1:63">
      <c r="A20" s="420" t="s">
        <v>417</v>
      </c>
      <c r="B20" s="421">
        <f>'3. INVESTIMENTO GLOBAL'!D7</f>
        <v>1559</v>
      </c>
      <c r="C20" s="723"/>
      <c r="D20" s="724"/>
      <c r="E20" s="422">
        <v>0</v>
      </c>
      <c r="F20" s="422">
        <v>0</v>
      </c>
      <c r="G20" s="422">
        <v>667</v>
      </c>
      <c r="H20" s="422">
        <v>650</v>
      </c>
      <c r="I20" s="422">
        <v>242</v>
      </c>
      <c r="J20" s="422">
        <v>0</v>
      </c>
      <c r="K20" s="422">
        <v>0</v>
      </c>
      <c r="L20" s="422">
        <v>0</v>
      </c>
    </row>
    <row r="21" spans="1:63">
      <c r="A21" s="291" t="s">
        <v>416</v>
      </c>
      <c r="B21" s="409">
        <f>SUM(E21:BJ21)</f>
        <v>301413.20809815434</v>
      </c>
      <c r="C21" s="723"/>
      <c r="D21" s="724"/>
      <c r="E21" s="423"/>
      <c r="F21" s="423">
        <f>SUM($D20:E20)*$I$6</f>
        <v>0</v>
      </c>
      <c r="G21" s="423">
        <f t="shared" ref="G21:L21" si="6">(F21)+(F20*J6)</f>
        <v>0</v>
      </c>
      <c r="H21" s="423">
        <f t="shared" si="6"/>
        <v>29843.581311598402</v>
      </c>
      <c r="I21" s="423">
        <f t="shared" si="6"/>
        <v>59465.104769026439</v>
      </c>
      <c r="J21" s="423">
        <f t="shared" si="6"/>
        <v>70701.507339176504</v>
      </c>
      <c r="K21" s="423">
        <f t="shared" si="6"/>
        <v>70701.507339176504</v>
      </c>
      <c r="L21" s="423">
        <f t="shared" si="6"/>
        <v>70701.507339176504</v>
      </c>
      <c r="BK21" s="404"/>
    </row>
    <row r="22" spans="1:63">
      <c r="A22" s="420" t="s">
        <v>418</v>
      </c>
      <c r="B22" s="421">
        <f>'3. INVESTIMENTO GLOBAL'!D8</f>
        <v>1266</v>
      </c>
      <c r="C22" s="723"/>
      <c r="D22" s="724"/>
      <c r="E22" s="422">
        <v>0</v>
      </c>
      <c r="F22" s="422">
        <v>433</v>
      </c>
      <c r="G22" s="422">
        <v>833</v>
      </c>
      <c r="H22" s="422">
        <v>0</v>
      </c>
      <c r="I22" s="422">
        <v>0</v>
      </c>
      <c r="J22" s="422">
        <v>0</v>
      </c>
      <c r="K22" s="422">
        <v>0</v>
      </c>
      <c r="L22" s="422">
        <v>0</v>
      </c>
    </row>
    <row r="23" spans="1:63">
      <c r="A23" s="291" t="s">
        <v>416</v>
      </c>
      <c r="B23" s="409">
        <f>SUM(E23:BJ23)</f>
        <v>375176.90568655217</v>
      </c>
      <c r="C23" s="723"/>
      <c r="D23" s="724"/>
      <c r="E23" s="414"/>
      <c r="F23" s="423">
        <f>SUM($D22:E22)*$I$7</f>
        <v>0</v>
      </c>
      <c r="G23" s="423">
        <f t="shared" ref="G23:L23" si="7">(F23)+(F22*J7)</f>
        <v>23754.653999748065</v>
      </c>
      <c r="H23" s="423">
        <f t="shared" si="7"/>
        <v>70284.450337360817</v>
      </c>
      <c r="I23" s="423">
        <f t="shared" si="7"/>
        <v>70284.450337360817</v>
      </c>
      <c r="J23" s="423">
        <f t="shared" si="7"/>
        <v>70284.450337360817</v>
      </c>
      <c r="K23" s="423">
        <f t="shared" si="7"/>
        <v>70284.450337360817</v>
      </c>
      <c r="L23" s="423">
        <f t="shared" si="7"/>
        <v>70284.450337360817</v>
      </c>
      <c r="BK23" s="404"/>
    </row>
    <row r="24" spans="1:63">
      <c r="A24" s="420" t="s">
        <v>419</v>
      </c>
      <c r="B24" s="421">
        <f>'3. INVESTIMENTO GLOBAL'!D9</f>
        <v>1083</v>
      </c>
      <c r="C24" s="723"/>
      <c r="D24" s="724"/>
      <c r="E24" s="422">
        <v>216</v>
      </c>
      <c r="F24" s="422">
        <v>867</v>
      </c>
      <c r="G24" s="422">
        <v>0</v>
      </c>
      <c r="H24" s="422">
        <v>0</v>
      </c>
      <c r="I24" s="422">
        <v>0</v>
      </c>
      <c r="J24" s="422">
        <v>0</v>
      </c>
      <c r="K24" s="422">
        <v>0</v>
      </c>
      <c r="L24" s="422">
        <v>0</v>
      </c>
    </row>
    <row r="25" spans="1:63">
      <c r="A25" s="291" t="s">
        <v>416</v>
      </c>
      <c r="B25" s="409">
        <f>SUM(E25:BJ25)</f>
        <v>374544.84840131499</v>
      </c>
      <c r="C25" s="723"/>
      <c r="D25" s="724"/>
      <c r="E25" s="414"/>
      <c r="F25" s="423">
        <f>SUM($D24:E24)*$I$8</f>
        <v>11885.259391116952</v>
      </c>
      <c r="G25" s="423">
        <f t="shared" ref="G25:L25" si="8">(F25)+(F24*J8)</f>
        <v>60443.264835033006</v>
      </c>
      <c r="H25" s="423">
        <f t="shared" si="8"/>
        <v>60443.264835033006</v>
      </c>
      <c r="I25" s="423">
        <f t="shared" si="8"/>
        <v>60443.264835033006</v>
      </c>
      <c r="J25" s="423">
        <f t="shared" si="8"/>
        <v>60443.264835033006</v>
      </c>
      <c r="K25" s="423">
        <f t="shared" si="8"/>
        <v>60443.264835033006</v>
      </c>
      <c r="L25" s="423">
        <f t="shared" si="8"/>
        <v>60443.264835033006</v>
      </c>
      <c r="BK25" s="404"/>
    </row>
    <row r="26" spans="1:63">
      <c r="A26" s="420" t="s">
        <v>420</v>
      </c>
      <c r="B26" s="421">
        <f>'3. INVESTIMENTO GLOBAL'!D10</f>
        <v>615</v>
      </c>
      <c r="C26" s="723"/>
      <c r="D26" s="724"/>
      <c r="E26" s="422">
        <v>615</v>
      </c>
      <c r="F26" s="422">
        <v>0</v>
      </c>
      <c r="G26" s="422">
        <v>0</v>
      </c>
      <c r="H26" s="422">
        <v>0</v>
      </c>
      <c r="I26" s="422">
        <v>0</v>
      </c>
      <c r="J26" s="422">
        <v>0</v>
      </c>
      <c r="K26" s="422">
        <v>0</v>
      </c>
      <c r="L26" s="422">
        <v>0</v>
      </c>
    </row>
    <row r="27" spans="1:63">
      <c r="A27" s="291" t="s">
        <v>416</v>
      </c>
      <c r="B27" s="409">
        <f>SUM(E27:BJ27)</f>
        <v>306849.11933221365</v>
      </c>
      <c r="C27" s="723"/>
      <c r="D27" s="724"/>
      <c r="E27" s="414"/>
      <c r="F27" s="423">
        <f>SUM($D26:E26)*$I$9</f>
        <v>43835.588476030527</v>
      </c>
      <c r="G27" s="423">
        <f t="shared" ref="G27:L27" si="9">(F27)+(F26*J9)</f>
        <v>43835.588476030527</v>
      </c>
      <c r="H27" s="423">
        <f t="shared" si="9"/>
        <v>43835.588476030527</v>
      </c>
      <c r="I27" s="423">
        <f t="shared" si="9"/>
        <v>43835.588476030527</v>
      </c>
      <c r="J27" s="423">
        <f t="shared" si="9"/>
        <v>43835.588476030527</v>
      </c>
      <c r="K27" s="423">
        <f t="shared" si="9"/>
        <v>43835.588476030527</v>
      </c>
      <c r="L27" s="423">
        <f t="shared" si="9"/>
        <v>43835.588476030527</v>
      </c>
      <c r="BK27" s="404"/>
    </row>
    <row r="28" spans="1:63">
      <c r="A28" s="420" t="s">
        <v>421</v>
      </c>
      <c r="B28" s="421">
        <f>'3. INVESTIMENTO GLOBAL'!D11</f>
        <v>469</v>
      </c>
      <c r="C28" s="723"/>
      <c r="D28" s="724"/>
      <c r="E28" s="422">
        <v>469</v>
      </c>
      <c r="F28" s="422">
        <v>0</v>
      </c>
      <c r="G28" s="422">
        <v>0</v>
      </c>
      <c r="H28" s="422">
        <v>0</v>
      </c>
      <c r="I28" s="422">
        <v>0</v>
      </c>
      <c r="J28" s="422">
        <v>0</v>
      </c>
      <c r="K28" s="422">
        <v>0</v>
      </c>
      <c r="L28" s="422">
        <v>0</v>
      </c>
    </row>
    <row r="29" spans="1:63">
      <c r="A29" s="291" t="s">
        <v>416</v>
      </c>
      <c r="B29" s="409">
        <f>SUM(E29:BJ29)</f>
        <v>263736.64759081334</v>
      </c>
      <c r="C29" s="725"/>
      <c r="D29" s="726"/>
      <c r="E29" s="414"/>
      <c r="F29" s="423">
        <f>SUM($D28:E28)*$I$10</f>
        <v>37676.663941544764</v>
      </c>
      <c r="G29" s="423">
        <f t="shared" ref="G29:L29" si="10">(F29)+(F28*J10)</f>
        <v>37676.663941544764</v>
      </c>
      <c r="H29" s="423">
        <f t="shared" si="10"/>
        <v>37676.663941544764</v>
      </c>
      <c r="I29" s="423">
        <f t="shared" si="10"/>
        <v>37676.663941544764</v>
      </c>
      <c r="J29" s="423">
        <f t="shared" si="10"/>
        <v>37676.663941544764</v>
      </c>
      <c r="K29" s="423">
        <f t="shared" si="10"/>
        <v>37676.663941544764</v>
      </c>
      <c r="L29" s="423">
        <f t="shared" si="10"/>
        <v>37676.663941544764</v>
      </c>
      <c r="BK29" s="404"/>
    </row>
    <row r="30" spans="1:63">
      <c r="B30" s="424"/>
      <c r="F30" s="404"/>
      <c r="G30" s="404"/>
      <c r="H30" s="404"/>
      <c r="I30" s="404"/>
      <c r="J30" s="404"/>
      <c r="K30" s="404"/>
      <c r="L30" s="404"/>
      <c r="BK30" s="404"/>
    </row>
    <row r="31" spans="1:63">
      <c r="A31" s="425" t="s">
        <v>422</v>
      </c>
      <c r="B31" s="426">
        <f>'3. INVESTIMENTO GLOBAL'!D12</f>
        <v>6845</v>
      </c>
      <c r="C31" s="721" t="s">
        <v>415</v>
      </c>
      <c r="D31" s="722"/>
      <c r="E31" s="427">
        <f>E38-(E33+(2*E35))</f>
        <v>931</v>
      </c>
      <c r="F31" s="427">
        <f t="shared" ref="F31:K31" si="11">F38-(F33+(2*F35))</f>
        <v>1100</v>
      </c>
      <c r="G31" s="427">
        <v>1500</v>
      </c>
      <c r="H31" s="427">
        <v>1650</v>
      </c>
      <c r="I31" s="427">
        <v>1664</v>
      </c>
      <c r="J31" s="427">
        <f t="shared" si="11"/>
        <v>0</v>
      </c>
      <c r="K31" s="427">
        <f t="shared" si="11"/>
        <v>0</v>
      </c>
      <c r="L31" s="427">
        <f>L38-(L33+(2*L35))</f>
        <v>0</v>
      </c>
      <c r="BK31" s="404"/>
    </row>
    <row r="32" spans="1:63">
      <c r="A32" s="408" t="s">
        <v>423</v>
      </c>
      <c r="B32" s="409">
        <f>SUM(E32:BJ32)</f>
        <v>441782.6947494137</v>
      </c>
      <c r="C32" s="723"/>
      <c r="D32" s="724"/>
      <c r="E32" s="414"/>
      <c r="F32" s="423">
        <f>SUM($D31:E31)*$I$11</f>
        <v>12335.75</v>
      </c>
      <c r="G32" s="423">
        <f t="shared" ref="G32:L32" si="12">(F32)+(F31*J11)</f>
        <v>27163.75</v>
      </c>
      <c r="H32" s="423">
        <f t="shared" si="12"/>
        <v>47763.910584741447</v>
      </c>
      <c r="I32" s="423">
        <f t="shared" si="12"/>
        <v>70843.720128757326</v>
      </c>
      <c r="J32" s="423">
        <f t="shared" si="12"/>
        <v>94558.521345304966</v>
      </c>
      <c r="K32" s="423">
        <f t="shared" si="12"/>
        <v>94558.521345304966</v>
      </c>
      <c r="L32" s="423">
        <f t="shared" si="12"/>
        <v>94558.521345304966</v>
      </c>
      <c r="BK32" s="404"/>
    </row>
    <row r="33" spans="1:63">
      <c r="A33" s="425" t="s">
        <v>424</v>
      </c>
      <c r="B33" s="426">
        <f>'3. INVESTIMENTO GLOBAL'!D13</f>
        <v>469</v>
      </c>
      <c r="C33" s="723"/>
      <c r="D33" s="724"/>
      <c r="E33" s="422">
        <v>269</v>
      </c>
      <c r="F33" s="422">
        <v>200</v>
      </c>
      <c r="G33" s="422">
        <v>0</v>
      </c>
      <c r="H33" s="422">
        <v>0</v>
      </c>
      <c r="I33" s="422">
        <v>0</v>
      </c>
      <c r="J33" s="422">
        <v>0</v>
      </c>
      <c r="K33" s="422">
        <v>0</v>
      </c>
      <c r="L33" s="422">
        <v>0</v>
      </c>
      <c r="BK33" s="404"/>
    </row>
    <row r="34" spans="1:63">
      <c r="A34" s="408" t="s">
        <v>423</v>
      </c>
      <c r="B34" s="409">
        <f>SUM(E34:BJ34)</f>
        <v>50323.429999999993</v>
      </c>
      <c r="C34" s="723"/>
      <c r="D34" s="724"/>
      <c r="E34" s="414"/>
      <c r="F34" s="423">
        <f>SUM($D33:E33)*$I$12</f>
        <v>4360.49</v>
      </c>
      <c r="G34" s="423">
        <f t="shared" ref="G34:L34" si="13">(F34)+(F33*J12)</f>
        <v>7660.49</v>
      </c>
      <c r="H34" s="423">
        <f t="shared" si="13"/>
        <v>7660.49</v>
      </c>
      <c r="I34" s="423">
        <f t="shared" si="13"/>
        <v>7660.49</v>
      </c>
      <c r="J34" s="423">
        <f t="shared" si="13"/>
        <v>7660.49</v>
      </c>
      <c r="K34" s="423">
        <f t="shared" si="13"/>
        <v>7660.49</v>
      </c>
      <c r="L34" s="423">
        <f t="shared" si="13"/>
        <v>7660.49</v>
      </c>
    </row>
    <row r="35" spans="1:63">
      <c r="A35" s="425" t="s">
        <v>425</v>
      </c>
      <c r="B35" s="426">
        <f>'3. INVESTIMENTO GLOBAL'!D14</f>
        <v>50</v>
      </c>
      <c r="C35" s="723"/>
      <c r="D35" s="724"/>
      <c r="E35" s="422">
        <v>50</v>
      </c>
      <c r="F35" s="422">
        <v>0</v>
      </c>
      <c r="G35" s="422">
        <v>0</v>
      </c>
      <c r="H35" s="422">
        <v>0</v>
      </c>
      <c r="I35" s="422">
        <v>0</v>
      </c>
      <c r="J35" s="422">
        <v>0</v>
      </c>
      <c r="K35" s="422">
        <v>0</v>
      </c>
      <c r="L35" s="422">
        <v>0</v>
      </c>
    </row>
    <row r="36" spans="1:63">
      <c r="A36" s="408" t="s">
        <v>423</v>
      </c>
      <c r="B36" s="409">
        <f>SUM(E36:BJ36)</f>
        <v>3115</v>
      </c>
      <c r="C36" s="725"/>
      <c r="D36" s="726"/>
      <c r="E36" s="414"/>
      <c r="F36" s="423">
        <f>SUM($D35:E35)*$I$13</f>
        <v>445</v>
      </c>
      <c r="G36" s="423">
        <f t="shared" ref="G36:L36" si="14">(F36)+(F35*J13)</f>
        <v>445</v>
      </c>
      <c r="H36" s="423">
        <f t="shared" si="14"/>
        <v>445</v>
      </c>
      <c r="I36" s="423">
        <f t="shared" si="14"/>
        <v>445</v>
      </c>
      <c r="J36" s="423">
        <f t="shared" si="14"/>
        <v>445</v>
      </c>
      <c r="K36" s="423">
        <f t="shared" si="14"/>
        <v>445</v>
      </c>
      <c r="L36" s="423">
        <f t="shared" si="14"/>
        <v>445</v>
      </c>
    </row>
    <row r="37" spans="1:63">
      <c r="B37" s="424"/>
    </row>
    <row r="38" spans="1:63">
      <c r="A38" s="414" t="s">
        <v>426</v>
      </c>
      <c r="B38" s="428">
        <f>SUM(,B18,B20,B22,B24,B26,B28)</f>
        <v>7414</v>
      </c>
      <c r="C38" s="727"/>
      <c r="D38" s="728"/>
      <c r="E38" s="422">
        <f>SUM(E18,E20,E22,E24,E26,E28)</f>
        <v>1300</v>
      </c>
      <c r="F38" s="422">
        <f t="shared" ref="F38:L39" si="15">SUM(F18,F20,F22,F24,F26,F28)</f>
        <v>1300</v>
      </c>
      <c r="G38" s="422">
        <f t="shared" si="15"/>
        <v>1500</v>
      </c>
      <c r="H38" s="422">
        <f t="shared" si="15"/>
        <v>1650</v>
      </c>
      <c r="I38" s="422">
        <f t="shared" si="15"/>
        <v>1664</v>
      </c>
      <c r="J38" s="422">
        <f t="shared" si="15"/>
        <v>0</v>
      </c>
      <c r="K38" s="422">
        <f t="shared" si="15"/>
        <v>0</v>
      </c>
      <c r="L38" s="422">
        <f t="shared" si="15"/>
        <v>0</v>
      </c>
    </row>
    <row r="39" spans="1:63">
      <c r="A39" s="414" t="s">
        <v>427</v>
      </c>
      <c r="B39" s="429">
        <f>SUM(E39:BJ39)</f>
        <v>1992041.1082791865</v>
      </c>
      <c r="C39" s="729"/>
      <c r="D39" s="730"/>
      <c r="E39" s="414"/>
      <c r="F39" s="423">
        <f>SUM(F19,F21,F23,F25,F27,F29)</f>
        <v>93397.511808692245</v>
      </c>
      <c r="G39" s="423">
        <f t="shared" si="15"/>
        <v>165710.17125235638</v>
      </c>
      <c r="H39" s="423">
        <f t="shared" si="15"/>
        <v>242083.54890156753</v>
      </c>
      <c r="I39" s="423">
        <f t="shared" si="15"/>
        <v>316073.4660257888</v>
      </c>
      <c r="J39" s="423">
        <f t="shared" si="15"/>
        <v>391592.13676359394</v>
      </c>
      <c r="K39" s="423">
        <f t="shared" si="15"/>
        <v>391592.13676359394</v>
      </c>
      <c r="L39" s="423">
        <f t="shared" si="15"/>
        <v>391592.13676359394</v>
      </c>
      <c r="BK39" s="404"/>
    </row>
    <row r="40" spans="1:63">
      <c r="A40" s="414" t="s">
        <v>428</v>
      </c>
      <c r="B40" s="428">
        <f>SUM(B31,B33,B35)</f>
        <v>7364</v>
      </c>
      <c r="C40" s="729"/>
      <c r="D40" s="730"/>
      <c r="E40" s="422">
        <f>SUM(E31,E33,E35)</f>
        <v>1250</v>
      </c>
      <c r="F40" s="422">
        <f t="shared" ref="F40:L41" si="16">SUM(F31,F33,F35)</f>
        <v>1300</v>
      </c>
      <c r="G40" s="422">
        <f t="shared" si="16"/>
        <v>1500</v>
      </c>
      <c r="H40" s="422">
        <f t="shared" si="16"/>
        <v>1650</v>
      </c>
      <c r="I40" s="422">
        <f t="shared" si="16"/>
        <v>1664</v>
      </c>
      <c r="J40" s="422">
        <f t="shared" si="16"/>
        <v>0</v>
      </c>
      <c r="K40" s="422">
        <f t="shared" si="16"/>
        <v>0</v>
      </c>
      <c r="L40" s="422">
        <f t="shared" si="16"/>
        <v>0</v>
      </c>
    </row>
    <row r="41" spans="1:63">
      <c r="A41" s="414" t="s">
        <v>429</v>
      </c>
      <c r="B41" s="429">
        <f>SUM(E41:BJ41)</f>
        <v>495221.12474941363</v>
      </c>
      <c r="C41" s="731"/>
      <c r="D41" s="732"/>
      <c r="E41" s="414"/>
      <c r="F41" s="423">
        <f>SUM(F32,F34,F36)</f>
        <v>17141.239999999998</v>
      </c>
      <c r="G41" s="423">
        <f t="shared" si="16"/>
        <v>35269.24</v>
      </c>
      <c r="H41" s="423">
        <f>SUM(H32,H34,H36)</f>
        <v>55869.400584741445</v>
      </c>
      <c r="I41" s="423">
        <f t="shared" si="16"/>
        <v>78949.210128757331</v>
      </c>
      <c r="J41" s="423">
        <f t="shared" si="16"/>
        <v>102664.01134530497</v>
      </c>
      <c r="K41" s="423">
        <f t="shared" si="16"/>
        <v>102664.01134530497</v>
      </c>
      <c r="L41" s="423">
        <f t="shared" si="16"/>
        <v>102664.01134530497</v>
      </c>
    </row>
    <row r="43" spans="1:63">
      <c r="A43" s="414" t="s">
        <v>430</v>
      </c>
      <c r="B43" s="423">
        <f>B39+B41</f>
        <v>2487262.2330286</v>
      </c>
      <c r="C43" s="430"/>
      <c r="D43" s="431"/>
      <c r="E43" s="432">
        <f>E39+E41</f>
        <v>0</v>
      </c>
      <c r="F43" s="432">
        <f>F39+F41</f>
        <v>110538.75180869224</v>
      </c>
      <c r="G43" s="432">
        <f t="shared" ref="G43:L43" si="17">G39+G41</f>
        <v>200979.41125235637</v>
      </c>
      <c r="H43" s="432">
        <f t="shared" si="17"/>
        <v>297952.94948630896</v>
      </c>
      <c r="I43" s="432">
        <f t="shared" si="17"/>
        <v>395022.67615454615</v>
      </c>
      <c r="J43" s="432">
        <f t="shared" si="17"/>
        <v>494256.14810889889</v>
      </c>
      <c r="K43" s="432">
        <f t="shared" si="17"/>
        <v>494256.14810889889</v>
      </c>
      <c r="L43" s="432">
        <f t="shared" si="17"/>
        <v>494256.14810889889</v>
      </c>
    </row>
    <row r="45" spans="1:63">
      <c r="C45" s="411" t="s">
        <v>363</v>
      </c>
      <c r="D45" s="411" t="s">
        <v>364</v>
      </c>
      <c r="E45" s="411" t="s">
        <v>365</v>
      </c>
      <c r="F45" s="411" t="s">
        <v>366</v>
      </c>
      <c r="G45" s="411" t="s">
        <v>367</v>
      </c>
      <c r="H45" s="411" t="s">
        <v>368</v>
      </c>
      <c r="I45" s="411" t="s">
        <v>369</v>
      </c>
      <c r="J45" s="411" t="s">
        <v>370</v>
      </c>
      <c r="K45" s="411" t="s">
        <v>371</v>
      </c>
      <c r="L45" s="411" t="s">
        <v>372</v>
      </c>
    </row>
    <row r="46" spans="1:63">
      <c r="A46" s="414" t="s">
        <v>413</v>
      </c>
      <c r="B46" s="411"/>
      <c r="C46" s="418"/>
      <c r="D46" s="418"/>
      <c r="E46" s="418"/>
      <c r="F46" s="418"/>
      <c r="G46" s="418"/>
      <c r="H46" s="418"/>
      <c r="I46" s="418"/>
      <c r="J46" s="418"/>
      <c r="K46" s="418"/>
      <c r="L46" s="418"/>
    </row>
    <row r="47" spans="1:63">
      <c r="A47" s="420" t="s">
        <v>414</v>
      </c>
      <c r="B47" s="421"/>
      <c r="C47" s="422">
        <v>0</v>
      </c>
      <c r="D47" s="422">
        <v>0</v>
      </c>
      <c r="E47" s="422">
        <v>0</v>
      </c>
      <c r="F47" s="422">
        <v>0</v>
      </c>
      <c r="G47" s="422">
        <v>0</v>
      </c>
      <c r="H47" s="422">
        <v>0</v>
      </c>
      <c r="I47" s="414"/>
      <c r="J47" s="414"/>
      <c r="K47" s="414"/>
      <c r="L47" s="414"/>
    </row>
    <row r="48" spans="1:63">
      <c r="A48" s="291" t="s">
        <v>416</v>
      </c>
      <c r="B48" s="409"/>
      <c r="C48" s="423">
        <f>(L19)+(L18*P5)</f>
        <v>108650.66183444834</v>
      </c>
      <c r="D48" s="423">
        <f t="shared" ref="D48:L48" si="18">(C48)+(C47*Q5)</f>
        <v>108650.66183444834</v>
      </c>
      <c r="E48" s="423">
        <f t="shared" si="18"/>
        <v>108650.66183444834</v>
      </c>
      <c r="F48" s="423">
        <f t="shared" si="18"/>
        <v>108650.66183444834</v>
      </c>
      <c r="G48" s="423">
        <f t="shared" si="18"/>
        <v>108650.66183444834</v>
      </c>
      <c r="H48" s="423">
        <f t="shared" si="18"/>
        <v>108650.66183444834</v>
      </c>
      <c r="I48" s="423">
        <f t="shared" si="18"/>
        <v>108650.66183444834</v>
      </c>
      <c r="J48" s="423">
        <f t="shared" si="18"/>
        <v>108650.66183444834</v>
      </c>
      <c r="K48" s="423">
        <f t="shared" si="18"/>
        <v>108650.66183444834</v>
      </c>
      <c r="L48" s="423">
        <f t="shared" si="18"/>
        <v>108650.66183444834</v>
      </c>
    </row>
    <row r="49" spans="1:12">
      <c r="A49" s="420" t="s">
        <v>417</v>
      </c>
      <c r="B49" s="421"/>
      <c r="C49" s="422">
        <v>0</v>
      </c>
      <c r="D49" s="422">
        <v>0</v>
      </c>
      <c r="E49" s="422">
        <v>0</v>
      </c>
      <c r="F49" s="422">
        <v>0</v>
      </c>
      <c r="G49" s="414"/>
      <c r="H49" s="414"/>
      <c r="I49" s="414"/>
      <c r="J49" s="414"/>
      <c r="K49" s="414"/>
      <c r="L49" s="414"/>
    </row>
    <row r="50" spans="1:12">
      <c r="A50" s="291" t="s">
        <v>416</v>
      </c>
      <c r="B50" s="409"/>
      <c r="C50" s="423">
        <f>(L21)+(L20*P6)</f>
        <v>70701.507339176504</v>
      </c>
      <c r="D50" s="423">
        <f t="shared" ref="D50:L50" si="19">(C50)+(C49*Q6)</f>
        <v>70701.507339176504</v>
      </c>
      <c r="E50" s="423">
        <f t="shared" si="19"/>
        <v>70701.507339176504</v>
      </c>
      <c r="F50" s="423">
        <f t="shared" si="19"/>
        <v>70701.507339176504</v>
      </c>
      <c r="G50" s="423">
        <f t="shared" si="19"/>
        <v>70701.507339176504</v>
      </c>
      <c r="H50" s="423">
        <f t="shared" si="19"/>
        <v>70701.507339176504</v>
      </c>
      <c r="I50" s="423">
        <f t="shared" si="19"/>
        <v>70701.507339176504</v>
      </c>
      <c r="J50" s="423">
        <f t="shared" si="19"/>
        <v>70701.507339176504</v>
      </c>
      <c r="K50" s="423">
        <f t="shared" si="19"/>
        <v>70701.507339176504</v>
      </c>
      <c r="L50" s="423">
        <f t="shared" si="19"/>
        <v>70701.507339176504</v>
      </c>
    </row>
    <row r="51" spans="1:12">
      <c r="A51" s="420" t="s">
        <v>418</v>
      </c>
      <c r="B51" s="421"/>
      <c r="C51" s="422">
        <v>0</v>
      </c>
      <c r="D51" s="422">
        <v>0</v>
      </c>
      <c r="E51" s="422">
        <v>0</v>
      </c>
      <c r="F51" s="422">
        <v>0</v>
      </c>
      <c r="G51" s="414"/>
      <c r="H51" s="414"/>
      <c r="I51" s="414"/>
      <c r="J51" s="414"/>
      <c r="K51" s="414"/>
      <c r="L51" s="414"/>
    </row>
    <row r="52" spans="1:12">
      <c r="A52" s="291" t="s">
        <v>416</v>
      </c>
      <c r="B52" s="409"/>
      <c r="C52" s="423">
        <f>(L23)+(L22*P7)</f>
        <v>70284.450337360817</v>
      </c>
      <c r="D52" s="423">
        <f t="shared" ref="D52:L52" si="20">(C52)+(C51*Q7)</f>
        <v>70284.450337360817</v>
      </c>
      <c r="E52" s="423">
        <f t="shared" si="20"/>
        <v>70284.450337360817</v>
      </c>
      <c r="F52" s="423">
        <f t="shared" si="20"/>
        <v>70284.450337360817</v>
      </c>
      <c r="G52" s="423">
        <f t="shared" si="20"/>
        <v>70284.450337360817</v>
      </c>
      <c r="H52" s="423">
        <f t="shared" si="20"/>
        <v>70284.450337360817</v>
      </c>
      <c r="I52" s="423">
        <f t="shared" si="20"/>
        <v>70284.450337360817</v>
      </c>
      <c r="J52" s="423">
        <f t="shared" si="20"/>
        <v>70284.450337360817</v>
      </c>
      <c r="K52" s="423">
        <f t="shared" si="20"/>
        <v>70284.450337360817</v>
      </c>
      <c r="L52" s="423">
        <f t="shared" si="20"/>
        <v>70284.450337360817</v>
      </c>
    </row>
    <row r="53" spans="1:12">
      <c r="A53" s="420" t="s">
        <v>419</v>
      </c>
      <c r="B53" s="421"/>
      <c r="C53" s="422">
        <v>0</v>
      </c>
      <c r="D53" s="422">
        <v>0</v>
      </c>
      <c r="E53" s="422">
        <v>0</v>
      </c>
      <c r="F53" s="422">
        <v>0</v>
      </c>
      <c r="G53" s="414"/>
      <c r="H53" s="414"/>
      <c r="I53" s="414"/>
      <c r="J53" s="414"/>
      <c r="K53" s="414"/>
      <c r="L53" s="414"/>
    </row>
    <row r="54" spans="1:12">
      <c r="A54" s="291" t="s">
        <v>416</v>
      </c>
      <c r="B54" s="409"/>
      <c r="C54" s="423">
        <f>(L25)+(L24*P8)</f>
        <v>60443.264835033006</v>
      </c>
      <c r="D54" s="423">
        <f t="shared" ref="D54:L54" si="21">(C54)+(C53*Q8)</f>
        <v>60443.264835033006</v>
      </c>
      <c r="E54" s="423">
        <f t="shared" si="21"/>
        <v>60443.264835033006</v>
      </c>
      <c r="F54" s="423">
        <f t="shared" si="21"/>
        <v>60443.264835033006</v>
      </c>
      <c r="G54" s="423">
        <f t="shared" si="21"/>
        <v>60443.264835033006</v>
      </c>
      <c r="H54" s="423">
        <f t="shared" si="21"/>
        <v>60443.264835033006</v>
      </c>
      <c r="I54" s="423">
        <f t="shared" si="21"/>
        <v>60443.264835033006</v>
      </c>
      <c r="J54" s="423">
        <f t="shared" si="21"/>
        <v>60443.264835033006</v>
      </c>
      <c r="K54" s="423">
        <f t="shared" si="21"/>
        <v>60443.264835033006</v>
      </c>
      <c r="L54" s="423">
        <f t="shared" si="21"/>
        <v>60443.264835033006</v>
      </c>
    </row>
    <row r="55" spans="1:12">
      <c r="A55" s="420" t="s">
        <v>420</v>
      </c>
      <c r="B55" s="421"/>
      <c r="C55" s="422">
        <v>0</v>
      </c>
      <c r="D55" s="422">
        <v>0</v>
      </c>
      <c r="E55" s="422">
        <v>0</v>
      </c>
      <c r="F55" s="422">
        <v>0</v>
      </c>
      <c r="G55" s="414"/>
      <c r="H55" s="414"/>
      <c r="I55" s="414"/>
      <c r="J55" s="414"/>
      <c r="K55" s="414"/>
      <c r="L55" s="414"/>
    </row>
    <row r="56" spans="1:12">
      <c r="A56" s="291" t="s">
        <v>416</v>
      </c>
      <c r="B56" s="409"/>
      <c r="C56" s="423">
        <f>(L27)+(L26*P9)</f>
        <v>43835.588476030527</v>
      </c>
      <c r="D56" s="423">
        <f t="shared" ref="D56:L56" si="22">(C56)+(C55*Q9)</f>
        <v>43835.588476030527</v>
      </c>
      <c r="E56" s="423">
        <f t="shared" si="22"/>
        <v>43835.588476030527</v>
      </c>
      <c r="F56" s="423">
        <f t="shared" si="22"/>
        <v>43835.588476030527</v>
      </c>
      <c r="G56" s="423">
        <f t="shared" si="22"/>
        <v>43835.588476030527</v>
      </c>
      <c r="H56" s="423">
        <f t="shared" si="22"/>
        <v>43835.588476030527</v>
      </c>
      <c r="I56" s="423">
        <f t="shared" si="22"/>
        <v>43835.588476030527</v>
      </c>
      <c r="J56" s="423">
        <f t="shared" si="22"/>
        <v>43835.588476030527</v>
      </c>
      <c r="K56" s="423">
        <f t="shared" si="22"/>
        <v>43835.588476030527</v>
      </c>
      <c r="L56" s="423">
        <f t="shared" si="22"/>
        <v>43835.588476030527</v>
      </c>
    </row>
    <row r="57" spans="1:12">
      <c r="A57" s="420" t="s">
        <v>421</v>
      </c>
      <c r="B57" s="421"/>
      <c r="C57" s="422">
        <v>0</v>
      </c>
      <c r="D57" s="422">
        <v>0</v>
      </c>
      <c r="E57" s="422">
        <v>0</v>
      </c>
      <c r="F57" s="422">
        <v>0</v>
      </c>
      <c r="G57" s="414"/>
      <c r="H57" s="414"/>
      <c r="I57" s="414"/>
      <c r="J57" s="414"/>
      <c r="K57" s="414"/>
      <c r="L57" s="414"/>
    </row>
    <row r="58" spans="1:12">
      <c r="A58" s="291" t="s">
        <v>416</v>
      </c>
      <c r="B58" s="409"/>
      <c r="C58" s="423">
        <f>(L29)+(L28*P10)</f>
        <v>37676.663941544764</v>
      </c>
      <c r="D58" s="423">
        <f t="shared" ref="D58:L58" si="23">(C58)+(C57*Q10)</f>
        <v>37676.663941544764</v>
      </c>
      <c r="E58" s="423">
        <f t="shared" si="23"/>
        <v>37676.663941544764</v>
      </c>
      <c r="F58" s="423">
        <f t="shared" si="23"/>
        <v>37676.663941544764</v>
      </c>
      <c r="G58" s="423">
        <f t="shared" si="23"/>
        <v>37676.663941544764</v>
      </c>
      <c r="H58" s="423">
        <f t="shared" si="23"/>
        <v>37676.663941544764</v>
      </c>
      <c r="I58" s="423">
        <f t="shared" si="23"/>
        <v>37676.663941544764</v>
      </c>
      <c r="J58" s="423">
        <f t="shared" si="23"/>
        <v>37676.663941544764</v>
      </c>
      <c r="K58" s="423">
        <f t="shared" si="23"/>
        <v>37676.663941544764</v>
      </c>
      <c r="L58" s="423">
        <f t="shared" si="23"/>
        <v>37676.663941544764</v>
      </c>
    </row>
    <row r="59" spans="1:12">
      <c r="B59" s="424"/>
      <c r="C59" s="404"/>
      <c r="D59" s="404"/>
      <c r="E59" s="404"/>
      <c r="F59" s="404"/>
      <c r="G59" s="404"/>
      <c r="H59" s="404"/>
      <c r="I59" s="404"/>
      <c r="J59" s="404"/>
      <c r="K59" s="404"/>
      <c r="L59" s="404"/>
    </row>
    <row r="60" spans="1:12">
      <c r="A60" s="425" t="s">
        <v>422</v>
      </c>
      <c r="B60" s="426"/>
      <c r="C60" s="427">
        <f>C67-(C62+(2*C64))</f>
        <v>0</v>
      </c>
      <c r="D60" s="427">
        <f>D67-(D62+(2*D64))</f>
        <v>0</v>
      </c>
      <c r="E60" s="427">
        <f>E67-(E62+(2*E64))</f>
        <v>0</v>
      </c>
      <c r="F60" s="427">
        <f>F67-(F62+(2*F64))</f>
        <v>0</v>
      </c>
      <c r="G60" s="427">
        <f>G67-(G62+(2*G64))</f>
        <v>0</v>
      </c>
      <c r="H60" s="423"/>
      <c r="I60" s="423"/>
      <c r="J60" s="423"/>
      <c r="K60" s="423"/>
      <c r="L60" s="423"/>
    </row>
    <row r="61" spans="1:12">
      <c r="A61" s="408" t="s">
        <v>423</v>
      </c>
      <c r="B61" s="409"/>
      <c r="C61" s="423">
        <f>(L32)+(L31*P11)</f>
        <v>94558.521345304966</v>
      </c>
      <c r="D61" s="423">
        <f t="shared" ref="D61:L61" si="24">(C61)+(C60*Q11)</f>
        <v>94558.521345304966</v>
      </c>
      <c r="E61" s="423">
        <f t="shared" si="24"/>
        <v>94558.521345304966</v>
      </c>
      <c r="F61" s="423">
        <f t="shared" si="24"/>
        <v>94558.521345304966</v>
      </c>
      <c r="G61" s="423">
        <f t="shared" si="24"/>
        <v>94558.521345304966</v>
      </c>
      <c r="H61" s="423">
        <f t="shared" si="24"/>
        <v>94558.521345304966</v>
      </c>
      <c r="I61" s="423">
        <f t="shared" si="24"/>
        <v>94558.521345304966</v>
      </c>
      <c r="J61" s="423">
        <f t="shared" si="24"/>
        <v>94558.521345304966</v>
      </c>
      <c r="K61" s="423">
        <f t="shared" si="24"/>
        <v>94558.521345304966</v>
      </c>
      <c r="L61" s="423">
        <f t="shared" si="24"/>
        <v>94558.521345304966</v>
      </c>
    </row>
    <row r="62" spans="1:12">
      <c r="A62" s="425" t="s">
        <v>424</v>
      </c>
      <c r="B62" s="426"/>
      <c r="C62" s="422">
        <v>0</v>
      </c>
      <c r="D62" s="422">
        <v>0</v>
      </c>
      <c r="E62" s="423">
        <v>0</v>
      </c>
      <c r="F62" s="423">
        <v>0</v>
      </c>
      <c r="G62" s="423"/>
      <c r="H62" s="423"/>
      <c r="I62" s="423"/>
      <c r="J62" s="423"/>
      <c r="K62" s="423"/>
      <c r="L62" s="423"/>
    </row>
    <row r="63" spans="1:12">
      <c r="A63" s="408" t="s">
        <v>423</v>
      </c>
      <c r="B63" s="409"/>
      <c r="C63" s="423">
        <f>(L34)+(L33*P12)</f>
        <v>7660.49</v>
      </c>
      <c r="D63" s="423">
        <f t="shared" ref="D63:L63" si="25">(C63)+(C62*Q12)</f>
        <v>7660.49</v>
      </c>
      <c r="E63" s="423">
        <f t="shared" si="25"/>
        <v>7660.49</v>
      </c>
      <c r="F63" s="423">
        <f t="shared" si="25"/>
        <v>7660.49</v>
      </c>
      <c r="G63" s="423">
        <f t="shared" si="25"/>
        <v>7660.49</v>
      </c>
      <c r="H63" s="423">
        <f t="shared" si="25"/>
        <v>7660.49</v>
      </c>
      <c r="I63" s="423">
        <f t="shared" si="25"/>
        <v>7660.49</v>
      </c>
      <c r="J63" s="423">
        <f t="shared" si="25"/>
        <v>7660.49</v>
      </c>
      <c r="K63" s="423">
        <f t="shared" si="25"/>
        <v>7660.49</v>
      </c>
      <c r="L63" s="423">
        <f t="shared" si="25"/>
        <v>7660.49</v>
      </c>
    </row>
    <row r="64" spans="1:12">
      <c r="A64" s="425" t="s">
        <v>425</v>
      </c>
      <c r="B64" s="426"/>
      <c r="C64" s="422">
        <v>0</v>
      </c>
      <c r="D64" s="422">
        <v>0</v>
      </c>
      <c r="E64" s="422">
        <v>0</v>
      </c>
      <c r="F64" s="422">
        <v>0</v>
      </c>
      <c r="G64" s="414"/>
      <c r="H64" s="414"/>
      <c r="I64" s="414"/>
      <c r="J64" s="414"/>
      <c r="K64" s="414"/>
      <c r="L64" s="414"/>
    </row>
    <row r="65" spans="1:12">
      <c r="A65" s="408" t="s">
        <v>423</v>
      </c>
      <c r="B65" s="409"/>
      <c r="C65" s="423">
        <f>(L36)+(L35*P13)</f>
        <v>445</v>
      </c>
      <c r="D65" s="423">
        <f t="shared" ref="D65:L65" si="26">(C65)+(C64*Q13)</f>
        <v>445</v>
      </c>
      <c r="E65" s="423">
        <f t="shared" si="26"/>
        <v>445</v>
      </c>
      <c r="F65" s="423">
        <f t="shared" si="26"/>
        <v>445</v>
      </c>
      <c r="G65" s="423">
        <f t="shared" si="26"/>
        <v>445</v>
      </c>
      <c r="H65" s="423">
        <f t="shared" si="26"/>
        <v>445</v>
      </c>
      <c r="I65" s="423">
        <f t="shared" si="26"/>
        <v>445</v>
      </c>
      <c r="J65" s="423">
        <f t="shared" si="26"/>
        <v>445</v>
      </c>
      <c r="K65" s="423">
        <f t="shared" si="26"/>
        <v>445</v>
      </c>
      <c r="L65" s="423">
        <f t="shared" si="26"/>
        <v>445</v>
      </c>
    </row>
    <row r="66" spans="1:12">
      <c r="B66" s="424"/>
    </row>
    <row r="67" spans="1:12">
      <c r="A67" s="414" t="s">
        <v>426</v>
      </c>
      <c r="B67" s="428"/>
      <c r="C67" s="422">
        <f t="shared" ref="C67:H68" si="27">SUM(C47,C49,C51,C53,C55,C57)</f>
        <v>0</v>
      </c>
      <c r="D67" s="422">
        <f t="shared" si="27"/>
        <v>0</v>
      </c>
      <c r="E67" s="422">
        <f t="shared" si="27"/>
        <v>0</v>
      </c>
      <c r="F67" s="422">
        <f t="shared" si="27"/>
        <v>0</v>
      </c>
      <c r="G67" s="422">
        <f t="shared" si="27"/>
        <v>0</v>
      </c>
      <c r="H67" s="422">
        <f t="shared" si="27"/>
        <v>0</v>
      </c>
      <c r="I67" s="414"/>
      <c r="J67" s="414"/>
      <c r="K67" s="414"/>
      <c r="L67" s="414"/>
    </row>
    <row r="68" spans="1:12">
      <c r="A68" s="414" t="s">
        <v>427</v>
      </c>
      <c r="B68" s="429"/>
      <c r="C68" s="423">
        <f t="shared" si="27"/>
        <v>391592.13676359394</v>
      </c>
      <c r="D68" s="423">
        <f t="shared" si="27"/>
        <v>391592.13676359394</v>
      </c>
      <c r="E68" s="423">
        <f t="shared" si="27"/>
        <v>391592.13676359394</v>
      </c>
      <c r="F68" s="423">
        <f t="shared" si="27"/>
        <v>391592.13676359394</v>
      </c>
      <c r="G68" s="423">
        <f t="shared" si="27"/>
        <v>391592.13676359394</v>
      </c>
      <c r="H68" s="423">
        <f t="shared" si="27"/>
        <v>391592.13676359394</v>
      </c>
      <c r="I68" s="423">
        <f>SUM(I48,I50,I52,I54,I56,I58)</f>
        <v>391592.13676359394</v>
      </c>
      <c r="J68" s="423">
        <f>SUM(J48,J50,J52,J54,J56,J58)</f>
        <v>391592.13676359394</v>
      </c>
      <c r="K68" s="423">
        <f>SUM(K48,K50,K52,K54,K56,K58)</f>
        <v>391592.13676359394</v>
      </c>
      <c r="L68" s="423">
        <f>SUM(L48,L50,L52,L54,L56,L58)</f>
        <v>391592.13676359394</v>
      </c>
    </row>
    <row r="69" spans="1:12">
      <c r="A69" s="414" t="s">
        <v>428</v>
      </c>
      <c r="B69" s="428"/>
      <c r="C69" s="422">
        <f t="shared" ref="C69:H70" si="28">SUM(C60,C62,C64)</f>
        <v>0</v>
      </c>
      <c r="D69" s="422">
        <f t="shared" si="28"/>
        <v>0</v>
      </c>
      <c r="E69" s="422">
        <f t="shared" si="28"/>
        <v>0</v>
      </c>
      <c r="F69" s="422">
        <f t="shared" si="28"/>
        <v>0</v>
      </c>
      <c r="G69" s="422">
        <f t="shared" si="28"/>
        <v>0</v>
      </c>
      <c r="H69" s="422">
        <f t="shared" si="28"/>
        <v>0</v>
      </c>
      <c r="I69" s="414"/>
      <c r="J69" s="414"/>
      <c r="K69" s="414"/>
      <c r="L69" s="414"/>
    </row>
    <row r="70" spans="1:12">
      <c r="A70" s="414" t="s">
        <v>429</v>
      </c>
      <c r="B70" s="429"/>
      <c r="C70" s="423">
        <f t="shared" si="28"/>
        <v>102664.01134530497</v>
      </c>
      <c r="D70" s="423">
        <f t="shared" si="28"/>
        <v>102664.01134530497</v>
      </c>
      <c r="E70" s="423">
        <f t="shared" si="28"/>
        <v>102664.01134530497</v>
      </c>
      <c r="F70" s="423">
        <f t="shared" si="28"/>
        <v>102664.01134530497</v>
      </c>
      <c r="G70" s="423">
        <f t="shared" si="28"/>
        <v>102664.01134530497</v>
      </c>
      <c r="H70" s="423">
        <f t="shared" si="28"/>
        <v>102664.01134530497</v>
      </c>
      <c r="I70" s="423">
        <f>SUM(I61,I63,I65)</f>
        <v>102664.01134530497</v>
      </c>
      <c r="J70" s="423">
        <f>SUM(J61,J63,J65)</f>
        <v>102664.01134530497</v>
      </c>
      <c r="K70" s="423">
        <f>SUM(K61,K63,K65)</f>
        <v>102664.01134530497</v>
      </c>
      <c r="L70" s="423">
        <f>SUM(L61,L63,L65)</f>
        <v>102664.01134530497</v>
      </c>
    </row>
    <row r="72" spans="1:12">
      <c r="A72" s="414" t="s">
        <v>430</v>
      </c>
      <c r="B72" s="423"/>
      <c r="C72" s="432">
        <f t="shared" ref="C72:L72" si="29">C68+C70</f>
        <v>494256.14810889889</v>
      </c>
      <c r="D72" s="432">
        <f t="shared" si="29"/>
        <v>494256.14810889889</v>
      </c>
      <c r="E72" s="432">
        <f t="shared" si="29"/>
        <v>494256.14810889889</v>
      </c>
      <c r="F72" s="432">
        <f t="shared" si="29"/>
        <v>494256.14810889889</v>
      </c>
      <c r="G72" s="432">
        <f t="shared" si="29"/>
        <v>494256.14810889889</v>
      </c>
      <c r="H72" s="432">
        <f t="shared" si="29"/>
        <v>494256.14810889889</v>
      </c>
      <c r="I72" s="432">
        <f t="shared" si="29"/>
        <v>494256.14810889889</v>
      </c>
      <c r="J72" s="432">
        <f t="shared" si="29"/>
        <v>494256.14810889889</v>
      </c>
      <c r="K72" s="432">
        <f t="shared" si="29"/>
        <v>494256.14810889889</v>
      </c>
      <c r="L72" s="432">
        <f t="shared" si="29"/>
        <v>494256.14810889889</v>
      </c>
    </row>
    <row r="74" spans="1:12">
      <c r="C74" s="411" t="s">
        <v>373</v>
      </c>
      <c r="D74" s="411" t="s">
        <v>374</v>
      </c>
      <c r="E74" s="411" t="s">
        <v>375</v>
      </c>
      <c r="F74" s="411" t="s">
        <v>376</v>
      </c>
      <c r="G74" s="411" t="s">
        <v>377</v>
      </c>
      <c r="H74" s="411" t="s">
        <v>378</v>
      </c>
      <c r="I74" s="411" t="s">
        <v>379</v>
      </c>
      <c r="J74" s="411" t="s">
        <v>380</v>
      </c>
      <c r="K74" s="411" t="s">
        <v>381</v>
      </c>
      <c r="L74" s="411" t="s">
        <v>382</v>
      </c>
    </row>
    <row r="75" spans="1:12">
      <c r="A75" s="414" t="s">
        <v>413</v>
      </c>
      <c r="B75" s="411"/>
      <c r="C75" s="418"/>
      <c r="D75" s="418"/>
      <c r="E75" s="418"/>
      <c r="F75" s="418"/>
      <c r="G75" s="418"/>
      <c r="H75" s="418"/>
      <c r="I75" s="418"/>
      <c r="J75" s="418"/>
      <c r="K75" s="418"/>
      <c r="L75" s="418"/>
    </row>
    <row r="76" spans="1:12">
      <c r="A76" s="420" t="s">
        <v>414</v>
      </c>
      <c r="B76" s="421"/>
      <c r="C76" s="414"/>
      <c r="D76" s="414"/>
      <c r="E76" s="414"/>
      <c r="F76" s="414"/>
      <c r="G76" s="414"/>
      <c r="H76" s="414"/>
      <c r="I76" s="414"/>
      <c r="J76" s="414"/>
      <c r="K76" s="414"/>
      <c r="L76" s="414"/>
    </row>
    <row r="77" spans="1:12">
      <c r="A77" s="291" t="s">
        <v>416</v>
      </c>
      <c r="B77" s="409"/>
      <c r="C77" s="423">
        <f>(L48)+(L47*Z5)</f>
        <v>108650.66183444834</v>
      </c>
      <c r="D77" s="423">
        <f t="shared" ref="D77:L77" si="30">(C77)+(C76*AA5)</f>
        <v>108650.66183444834</v>
      </c>
      <c r="E77" s="423">
        <f t="shared" si="30"/>
        <v>108650.66183444834</v>
      </c>
      <c r="F77" s="423">
        <f t="shared" si="30"/>
        <v>108650.66183444834</v>
      </c>
      <c r="G77" s="423">
        <f t="shared" si="30"/>
        <v>108650.66183444834</v>
      </c>
      <c r="H77" s="423">
        <f t="shared" si="30"/>
        <v>108650.66183444834</v>
      </c>
      <c r="I77" s="423">
        <f t="shared" si="30"/>
        <v>108650.66183444834</v>
      </c>
      <c r="J77" s="423">
        <f t="shared" si="30"/>
        <v>108650.66183444834</v>
      </c>
      <c r="K77" s="423">
        <f t="shared" si="30"/>
        <v>108650.66183444834</v>
      </c>
      <c r="L77" s="423">
        <f t="shared" si="30"/>
        <v>108650.66183444834</v>
      </c>
    </row>
    <row r="78" spans="1:12">
      <c r="A78" s="420" t="s">
        <v>417</v>
      </c>
      <c r="B78" s="421"/>
      <c r="C78" s="414"/>
      <c r="D78" s="414"/>
      <c r="E78" s="414"/>
      <c r="F78" s="414"/>
      <c r="G78" s="414"/>
      <c r="H78" s="414"/>
      <c r="I78" s="414"/>
      <c r="J78" s="414"/>
      <c r="K78" s="414"/>
      <c r="L78" s="414"/>
    </row>
    <row r="79" spans="1:12">
      <c r="A79" s="291" t="s">
        <v>416</v>
      </c>
      <c r="B79" s="409"/>
      <c r="C79" s="423">
        <f>(L50)+(L49*Z6)</f>
        <v>70701.507339176504</v>
      </c>
      <c r="D79" s="423">
        <f t="shared" ref="D79:L79" si="31">(C79)+(C78*AA6)</f>
        <v>70701.507339176504</v>
      </c>
      <c r="E79" s="423">
        <f t="shared" si="31"/>
        <v>70701.507339176504</v>
      </c>
      <c r="F79" s="423">
        <f t="shared" si="31"/>
        <v>70701.507339176504</v>
      </c>
      <c r="G79" s="423">
        <f t="shared" si="31"/>
        <v>70701.507339176504</v>
      </c>
      <c r="H79" s="423">
        <f t="shared" si="31"/>
        <v>70701.507339176504</v>
      </c>
      <c r="I79" s="423">
        <f t="shared" si="31"/>
        <v>70701.507339176504</v>
      </c>
      <c r="J79" s="423">
        <f t="shared" si="31"/>
        <v>70701.507339176504</v>
      </c>
      <c r="K79" s="423">
        <f t="shared" si="31"/>
        <v>70701.507339176504</v>
      </c>
      <c r="L79" s="423">
        <f t="shared" si="31"/>
        <v>70701.507339176504</v>
      </c>
    </row>
    <row r="80" spans="1:12">
      <c r="A80" s="420" t="s">
        <v>418</v>
      </c>
      <c r="B80" s="421"/>
      <c r="C80" s="414"/>
      <c r="D80" s="414"/>
      <c r="E80" s="414"/>
      <c r="F80" s="414"/>
      <c r="G80" s="414"/>
      <c r="H80" s="414"/>
      <c r="I80" s="414"/>
      <c r="J80" s="414"/>
      <c r="K80" s="414"/>
      <c r="L80" s="414"/>
    </row>
    <row r="81" spans="1:12">
      <c r="A81" s="291" t="s">
        <v>416</v>
      </c>
      <c r="B81" s="409"/>
      <c r="C81" s="423">
        <f>(L52)+(L51*Z7)</f>
        <v>70284.450337360817</v>
      </c>
      <c r="D81" s="423">
        <f t="shared" ref="D81:L81" si="32">(C81)+(C80*AA7)</f>
        <v>70284.450337360817</v>
      </c>
      <c r="E81" s="423">
        <f t="shared" si="32"/>
        <v>70284.450337360817</v>
      </c>
      <c r="F81" s="423">
        <f t="shared" si="32"/>
        <v>70284.450337360817</v>
      </c>
      <c r="G81" s="423">
        <f t="shared" si="32"/>
        <v>70284.450337360817</v>
      </c>
      <c r="H81" s="423">
        <f t="shared" si="32"/>
        <v>70284.450337360817</v>
      </c>
      <c r="I81" s="423">
        <f t="shared" si="32"/>
        <v>70284.450337360817</v>
      </c>
      <c r="J81" s="423">
        <f t="shared" si="32"/>
        <v>70284.450337360817</v>
      </c>
      <c r="K81" s="423">
        <f t="shared" si="32"/>
        <v>70284.450337360817</v>
      </c>
      <c r="L81" s="423">
        <f t="shared" si="32"/>
        <v>70284.450337360817</v>
      </c>
    </row>
    <row r="82" spans="1:12">
      <c r="A82" s="420" t="s">
        <v>419</v>
      </c>
      <c r="B82" s="421"/>
      <c r="C82" s="414"/>
      <c r="D82" s="414"/>
      <c r="E82" s="414"/>
      <c r="F82" s="414"/>
      <c r="G82" s="414"/>
      <c r="H82" s="414"/>
      <c r="I82" s="414"/>
      <c r="J82" s="414"/>
      <c r="K82" s="414"/>
      <c r="L82" s="414"/>
    </row>
    <row r="83" spans="1:12">
      <c r="A83" s="291" t="s">
        <v>416</v>
      </c>
      <c r="B83" s="409"/>
      <c r="C83" s="423">
        <f>(L54)+(L53*Z8)</f>
        <v>60443.264835033006</v>
      </c>
      <c r="D83" s="423">
        <f t="shared" ref="D83:L83" si="33">(C83)+(C82*AA8)</f>
        <v>60443.264835033006</v>
      </c>
      <c r="E83" s="423">
        <f t="shared" si="33"/>
        <v>60443.264835033006</v>
      </c>
      <c r="F83" s="423">
        <f t="shared" si="33"/>
        <v>60443.264835033006</v>
      </c>
      <c r="G83" s="423">
        <f t="shared" si="33"/>
        <v>60443.264835033006</v>
      </c>
      <c r="H83" s="423">
        <f t="shared" si="33"/>
        <v>60443.264835033006</v>
      </c>
      <c r="I83" s="423">
        <f t="shared" si="33"/>
        <v>60443.264835033006</v>
      </c>
      <c r="J83" s="423">
        <f t="shared" si="33"/>
        <v>60443.264835033006</v>
      </c>
      <c r="K83" s="423">
        <f t="shared" si="33"/>
        <v>60443.264835033006</v>
      </c>
      <c r="L83" s="423">
        <f t="shared" si="33"/>
        <v>60443.264835033006</v>
      </c>
    </row>
    <row r="84" spans="1:12">
      <c r="A84" s="420" t="s">
        <v>420</v>
      </c>
      <c r="B84" s="421"/>
      <c r="C84" s="414"/>
      <c r="D84" s="414"/>
      <c r="E84" s="414"/>
      <c r="F84" s="414"/>
      <c r="G84" s="414"/>
      <c r="H84" s="414"/>
      <c r="I84" s="414"/>
      <c r="J84" s="414"/>
      <c r="K84" s="414"/>
      <c r="L84" s="414"/>
    </row>
    <row r="85" spans="1:12">
      <c r="A85" s="291" t="s">
        <v>416</v>
      </c>
      <c r="B85" s="409"/>
      <c r="C85" s="423">
        <f>(L56)+(L55*Z9)</f>
        <v>43835.588476030527</v>
      </c>
      <c r="D85" s="423">
        <f t="shared" ref="D85:L85" si="34">(C85)+(C84*AA9)</f>
        <v>43835.588476030527</v>
      </c>
      <c r="E85" s="423">
        <f t="shared" si="34"/>
        <v>43835.588476030527</v>
      </c>
      <c r="F85" s="423">
        <f t="shared" si="34"/>
        <v>43835.588476030527</v>
      </c>
      <c r="G85" s="423">
        <f t="shared" si="34"/>
        <v>43835.588476030527</v>
      </c>
      <c r="H85" s="423">
        <f t="shared" si="34"/>
        <v>43835.588476030527</v>
      </c>
      <c r="I85" s="423">
        <f t="shared" si="34"/>
        <v>43835.588476030527</v>
      </c>
      <c r="J85" s="423">
        <f t="shared" si="34"/>
        <v>43835.588476030527</v>
      </c>
      <c r="K85" s="423">
        <f t="shared" si="34"/>
        <v>43835.588476030527</v>
      </c>
      <c r="L85" s="423">
        <f t="shared" si="34"/>
        <v>43835.588476030527</v>
      </c>
    </row>
    <row r="86" spans="1:12">
      <c r="A86" s="420" t="s">
        <v>421</v>
      </c>
      <c r="B86" s="421"/>
      <c r="C86" s="414"/>
      <c r="D86" s="414"/>
      <c r="E86" s="414"/>
      <c r="F86" s="414"/>
      <c r="G86" s="414"/>
      <c r="H86" s="414"/>
      <c r="I86" s="414"/>
      <c r="J86" s="414"/>
      <c r="K86" s="414"/>
      <c r="L86" s="414"/>
    </row>
    <row r="87" spans="1:12">
      <c r="A87" s="291" t="s">
        <v>416</v>
      </c>
      <c r="B87" s="409"/>
      <c r="C87" s="423">
        <f>(L58)+(L57*Z10)</f>
        <v>37676.663941544764</v>
      </c>
      <c r="D87" s="423">
        <f t="shared" ref="D87:L87" si="35">(C87)+(C86*AA10)</f>
        <v>37676.663941544764</v>
      </c>
      <c r="E87" s="423">
        <f t="shared" si="35"/>
        <v>37676.663941544764</v>
      </c>
      <c r="F87" s="423">
        <f t="shared" si="35"/>
        <v>37676.663941544764</v>
      </c>
      <c r="G87" s="423">
        <f t="shared" si="35"/>
        <v>37676.663941544764</v>
      </c>
      <c r="H87" s="423">
        <f t="shared" si="35"/>
        <v>37676.663941544764</v>
      </c>
      <c r="I87" s="423">
        <f t="shared" si="35"/>
        <v>37676.663941544764</v>
      </c>
      <c r="J87" s="423">
        <f t="shared" si="35"/>
        <v>37676.663941544764</v>
      </c>
      <c r="K87" s="423">
        <f t="shared" si="35"/>
        <v>37676.663941544764</v>
      </c>
      <c r="L87" s="423">
        <f t="shared" si="35"/>
        <v>37676.663941544764</v>
      </c>
    </row>
    <row r="88" spans="1:12">
      <c r="B88" s="424"/>
      <c r="C88" s="404"/>
      <c r="D88" s="404"/>
      <c r="E88" s="404"/>
      <c r="F88" s="404"/>
      <c r="G88" s="404"/>
      <c r="H88" s="404"/>
      <c r="I88" s="404"/>
      <c r="J88" s="404"/>
      <c r="K88" s="404"/>
      <c r="L88" s="404"/>
    </row>
    <row r="89" spans="1:12">
      <c r="A89" s="425" t="s">
        <v>422</v>
      </c>
      <c r="B89" s="426"/>
      <c r="C89" s="423"/>
      <c r="D89" s="423"/>
      <c r="E89" s="423"/>
      <c r="F89" s="423"/>
      <c r="G89" s="423"/>
      <c r="H89" s="423"/>
      <c r="I89" s="423"/>
      <c r="J89" s="423"/>
      <c r="K89" s="423"/>
      <c r="L89" s="423"/>
    </row>
    <row r="90" spans="1:12">
      <c r="A90" s="408" t="s">
        <v>423</v>
      </c>
      <c r="B90" s="409"/>
      <c r="C90" s="423">
        <f>(L61)+(L60*Z11)</f>
        <v>94558.521345304966</v>
      </c>
      <c r="D90" s="423">
        <f t="shared" ref="D90:L90" si="36">(C90)+(C89*AA11)</f>
        <v>94558.521345304966</v>
      </c>
      <c r="E90" s="423">
        <f t="shared" si="36"/>
        <v>94558.521345304966</v>
      </c>
      <c r="F90" s="423">
        <f t="shared" si="36"/>
        <v>94558.521345304966</v>
      </c>
      <c r="G90" s="423">
        <f t="shared" si="36"/>
        <v>94558.521345304966</v>
      </c>
      <c r="H90" s="423">
        <f t="shared" si="36"/>
        <v>94558.521345304966</v>
      </c>
      <c r="I90" s="423">
        <f t="shared" si="36"/>
        <v>94558.521345304966</v>
      </c>
      <c r="J90" s="423">
        <f t="shared" si="36"/>
        <v>94558.521345304966</v>
      </c>
      <c r="K90" s="423">
        <f t="shared" si="36"/>
        <v>94558.521345304966</v>
      </c>
      <c r="L90" s="423">
        <f t="shared" si="36"/>
        <v>94558.521345304966</v>
      </c>
    </row>
    <row r="91" spans="1:12">
      <c r="A91" s="425" t="s">
        <v>424</v>
      </c>
      <c r="B91" s="426"/>
      <c r="C91" s="423"/>
      <c r="D91" s="423"/>
      <c r="E91" s="423"/>
      <c r="F91" s="423"/>
      <c r="G91" s="423"/>
      <c r="H91" s="423"/>
      <c r="I91" s="423"/>
      <c r="J91" s="423"/>
      <c r="K91" s="423"/>
      <c r="L91" s="423"/>
    </row>
    <row r="92" spans="1:12">
      <c r="A92" s="408" t="s">
        <v>423</v>
      </c>
      <c r="B92" s="409"/>
      <c r="C92" s="423">
        <f>(L63)+(L62*Z12)</f>
        <v>7660.49</v>
      </c>
      <c r="D92" s="423">
        <f t="shared" ref="D92:L92" si="37">(C92)+(C91*AA12)</f>
        <v>7660.49</v>
      </c>
      <c r="E92" s="423">
        <f t="shared" si="37"/>
        <v>7660.49</v>
      </c>
      <c r="F92" s="423">
        <f t="shared" si="37"/>
        <v>7660.49</v>
      </c>
      <c r="G92" s="423">
        <f t="shared" si="37"/>
        <v>7660.49</v>
      </c>
      <c r="H92" s="423">
        <f t="shared" si="37"/>
        <v>7660.49</v>
      </c>
      <c r="I92" s="423">
        <f t="shared" si="37"/>
        <v>7660.49</v>
      </c>
      <c r="J92" s="423">
        <f t="shared" si="37"/>
        <v>7660.49</v>
      </c>
      <c r="K92" s="423">
        <f t="shared" si="37"/>
        <v>7660.49</v>
      </c>
      <c r="L92" s="423">
        <f t="shared" si="37"/>
        <v>7660.49</v>
      </c>
    </row>
    <row r="93" spans="1:12">
      <c r="A93" s="425" t="s">
        <v>425</v>
      </c>
      <c r="B93" s="426"/>
      <c r="C93" s="414"/>
      <c r="D93" s="414"/>
      <c r="E93" s="414"/>
      <c r="F93" s="414"/>
      <c r="G93" s="414"/>
      <c r="H93" s="414"/>
      <c r="I93" s="414"/>
      <c r="J93" s="414"/>
      <c r="K93" s="414"/>
      <c r="L93" s="414"/>
    </row>
    <row r="94" spans="1:12">
      <c r="A94" s="408" t="s">
        <v>423</v>
      </c>
      <c r="B94" s="409"/>
      <c r="C94" s="423">
        <f>(L65)+(L64*Z13)</f>
        <v>445</v>
      </c>
      <c r="D94" s="423">
        <f t="shared" ref="D94:L94" si="38">(C94)+(C93*AA13)</f>
        <v>445</v>
      </c>
      <c r="E94" s="423">
        <f t="shared" si="38"/>
        <v>445</v>
      </c>
      <c r="F94" s="423">
        <f t="shared" si="38"/>
        <v>445</v>
      </c>
      <c r="G94" s="423">
        <f t="shared" si="38"/>
        <v>445</v>
      </c>
      <c r="H94" s="423">
        <f t="shared" si="38"/>
        <v>445</v>
      </c>
      <c r="I94" s="423">
        <f t="shared" si="38"/>
        <v>445</v>
      </c>
      <c r="J94" s="423">
        <f t="shared" si="38"/>
        <v>445</v>
      </c>
      <c r="K94" s="423">
        <f t="shared" si="38"/>
        <v>445</v>
      </c>
      <c r="L94" s="423">
        <f t="shared" si="38"/>
        <v>445</v>
      </c>
    </row>
    <row r="95" spans="1:12">
      <c r="B95" s="424"/>
    </row>
    <row r="96" spans="1:12">
      <c r="A96" s="414" t="s">
        <v>426</v>
      </c>
      <c r="B96" s="428"/>
      <c r="C96" s="414"/>
      <c r="D96" s="414"/>
      <c r="E96" s="414"/>
      <c r="F96" s="414"/>
      <c r="G96" s="414"/>
      <c r="H96" s="414"/>
      <c r="I96" s="414"/>
      <c r="J96" s="414"/>
      <c r="K96" s="414"/>
      <c r="L96" s="414"/>
    </row>
    <row r="97" spans="1:12">
      <c r="A97" s="414" t="s">
        <v>427</v>
      </c>
      <c r="B97" s="429"/>
      <c r="C97" s="423">
        <f t="shared" ref="C97:L97" si="39">SUM(C77,C79,C81,C83,C85,C87)</f>
        <v>391592.13676359394</v>
      </c>
      <c r="D97" s="423">
        <f t="shared" si="39"/>
        <v>391592.13676359394</v>
      </c>
      <c r="E97" s="423">
        <f t="shared" si="39"/>
        <v>391592.13676359394</v>
      </c>
      <c r="F97" s="423">
        <f t="shared" si="39"/>
        <v>391592.13676359394</v>
      </c>
      <c r="G97" s="423">
        <f t="shared" si="39"/>
        <v>391592.13676359394</v>
      </c>
      <c r="H97" s="423">
        <f t="shared" si="39"/>
        <v>391592.13676359394</v>
      </c>
      <c r="I97" s="423">
        <f t="shared" si="39"/>
        <v>391592.13676359394</v>
      </c>
      <c r="J97" s="423">
        <f t="shared" si="39"/>
        <v>391592.13676359394</v>
      </c>
      <c r="K97" s="423">
        <f t="shared" si="39"/>
        <v>391592.13676359394</v>
      </c>
      <c r="L97" s="423">
        <f t="shared" si="39"/>
        <v>391592.13676359394</v>
      </c>
    </row>
    <row r="98" spans="1:12">
      <c r="A98" s="414" t="s">
        <v>428</v>
      </c>
      <c r="B98" s="428"/>
      <c r="C98" s="414"/>
      <c r="D98" s="414"/>
      <c r="E98" s="414"/>
      <c r="F98" s="414"/>
      <c r="G98" s="414"/>
      <c r="H98" s="414"/>
      <c r="I98" s="414"/>
      <c r="J98" s="414"/>
      <c r="K98" s="414"/>
      <c r="L98" s="414"/>
    </row>
    <row r="99" spans="1:12">
      <c r="A99" s="414" t="s">
        <v>429</v>
      </c>
      <c r="B99" s="429"/>
      <c r="C99" s="423">
        <f t="shared" ref="C99:L99" si="40">SUM(C90,C92,C94)</f>
        <v>102664.01134530497</v>
      </c>
      <c r="D99" s="423">
        <f t="shared" si="40"/>
        <v>102664.01134530497</v>
      </c>
      <c r="E99" s="423">
        <f t="shared" si="40"/>
        <v>102664.01134530497</v>
      </c>
      <c r="F99" s="423">
        <f t="shared" si="40"/>
        <v>102664.01134530497</v>
      </c>
      <c r="G99" s="423">
        <f t="shared" si="40"/>
        <v>102664.01134530497</v>
      </c>
      <c r="H99" s="423">
        <f t="shared" si="40"/>
        <v>102664.01134530497</v>
      </c>
      <c r="I99" s="423">
        <f t="shared" si="40"/>
        <v>102664.01134530497</v>
      </c>
      <c r="J99" s="423">
        <f t="shared" si="40"/>
        <v>102664.01134530497</v>
      </c>
      <c r="K99" s="423">
        <f t="shared" si="40"/>
        <v>102664.01134530497</v>
      </c>
      <c r="L99" s="423">
        <f t="shared" si="40"/>
        <v>102664.01134530497</v>
      </c>
    </row>
    <row r="100" spans="1:12" ht="15" customHeight="1"/>
    <row r="101" spans="1:12">
      <c r="A101" s="414" t="s">
        <v>430</v>
      </c>
      <c r="B101" s="423"/>
      <c r="C101" s="432">
        <f t="shared" ref="C101:L101" si="41">C97+C99</f>
        <v>494256.14810889889</v>
      </c>
      <c r="D101" s="432">
        <f t="shared" si="41"/>
        <v>494256.14810889889</v>
      </c>
      <c r="E101" s="432">
        <f t="shared" si="41"/>
        <v>494256.14810889889</v>
      </c>
      <c r="F101" s="432">
        <f t="shared" si="41"/>
        <v>494256.14810889889</v>
      </c>
      <c r="G101" s="432">
        <f t="shared" si="41"/>
        <v>494256.14810889889</v>
      </c>
      <c r="H101" s="432">
        <f t="shared" si="41"/>
        <v>494256.14810889889</v>
      </c>
      <c r="I101" s="432">
        <f t="shared" si="41"/>
        <v>494256.14810889889</v>
      </c>
      <c r="J101" s="432">
        <f t="shared" si="41"/>
        <v>494256.14810889889</v>
      </c>
      <c r="K101" s="432">
        <f t="shared" si="41"/>
        <v>494256.14810889889</v>
      </c>
      <c r="L101" s="432">
        <f t="shared" si="41"/>
        <v>494256.14810889889</v>
      </c>
    </row>
    <row r="103" spans="1:12">
      <c r="C103" s="411" t="s">
        <v>383</v>
      </c>
      <c r="D103" s="411" t="s">
        <v>384</v>
      </c>
      <c r="E103" s="411" t="s">
        <v>385</v>
      </c>
      <c r="F103" s="411" t="s">
        <v>386</v>
      </c>
      <c r="G103" s="411" t="s">
        <v>387</v>
      </c>
      <c r="H103" s="411" t="s">
        <v>388</v>
      </c>
      <c r="I103" s="411" t="s">
        <v>389</v>
      </c>
      <c r="J103" s="411" t="s">
        <v>390</v>
      </c>
      <c r="K103" s="411" t="s">
        <v>391</v>
      </c>
      <c r="L103" s="411" t="s">
        <v>392</v>
      </c>
    </row>
    <row r="104" spans="1:12">
      <c r="A104" s="414" t="s">
        <v>413</v>
      </c>
      <c r="B104" s="411"/>
      <c r="C104" s="418"/>
      <c r="D104" s="418"/>
      <c r="E104" s="418"/>
      <c r="F104" s="418"/>
      <c r="G104" s="418"/>
      <c r="H104" s="418"/>
      <c r="I104" s="418"/>
      <c r="J104" s="418"/>
      <c r="K104" s="418"/>
      <c r="L104" s="418"/>
    </row>
    <row r="105" spans="1:12">
      <c r="A105" s="420" t="s">
        <v>414</v>
      </c>
      <c r="B105" s="421"/>
      <c r="C105" s="414"/>
      <c r="D105" s="414"/>
      <c r="E105" s="414"/>
      <c r="F105" s="414"/>
      <c r="G105" s="414"/>
      <c r="H105" s="414"/>
      <c r="I105" s="414"/>
      <c r="J105" s="414"/>
      <c r="K105" s="414"/>
      <c r="L105" s="414"/>
    </row>
    <row r="106" spans="1:12">
      <c r="A106" s="291" t="s">
        <v>416</v>
      </c>
      <c r="B106" s="409"/>
      <c r="C106" s="423">
        <f>(L77)+(L76*AJ5)</f>
        <v>108650.66183444834</v>
      </c>
      <c r="D106" s="423">
        <f t="shared" ref="D106:L106" si="42">(C106)+(C105*AK5)</f>
        <v>108650.66183444834</v>
      </c>
      <c r="E106" s="423">
        <f t="shared" si="42"/>
        <v>108650.66183444834</v>
      </c>
      <c r="F106" s="423">
        <f t="shared" si="42"/>
        <v>108650.66183444834</v>
      </c>
      <c r="G106" s="423">
        <f t="shared" si="42"/>
        <v>108650.66183444834</v>
      </c>
      <c r="H106" s="423">
        <f t="shared" si="42"/>
        <v>108650.66183444834</v>
      </c>
      <c r="I106" s="423">
        <f t="shared" si="42"/>
        <v>108650.66183444834</v>
      </c>
      <c r="J106" s="423">
        <f t="shared" si="42"/>
        <v>108650.66183444834</v>
      </c>
      <c r="K106" s="423">
        <f t="shared" si="42"/>
        <v>108650.66183444834</v>
      </c>
      <c r="L106" s="423">
        <f t="shared" si="42"/>
        <v>108650.66183444834</v>
      </c>
    </row>
    <row r="107" spans="1:12">
      <c r="A107" s="420" t="s">
        <v>417</v>
      </c>
      <c r="B107" s="421"/>
      <c r="C107" s="414"/>
      <c r="D107" s="414"/>
      <c r="E107" s="414"/>
      <c r="F107" s="414"/>
      <c r="G107" s="414"/>
      <c r="H107" s="414"/>
      <c r="I107" s="414"/>
      <c r="J107" s="414"/>
      <c r="K107" s="414"/>
      <c r="L107" s="414"/>
    </row>
    <row r="108" spans="1:12">
      <c r="A108" s="291" t="s">
        <v>416</v>
      </c>
      <c r="B108" s="409"/>
      <c r="C108" s="423">
        <f>(L79)+(L78*AJ6)</f>
        <v>70701.507339176504</v>
      </c>
      <c r="D108" s="423">
        <f t="shared" ref="D108:L108" si="43">(C108)+(C107*AK6)</f>
        <v>70701.507339176504</v>
      </c>
      <c r="E108" s="423">
        <f t="shared" si="43"/>
        <v>70701.507339176504</v>
      </c>
      <c r="F108" s="423">
        <f t="shared" si="43"/>
        <v>70701.507339176504</v>
      </c>
      <c r="G108" s="423">
        <f t="shared" si="43"/>
        <v>70701.507339176504</v>
      </c>
      <c r="H108" s="423">
        <f t="shared" si="43"/>
        <v>70701.507339176504</v>
      </c>
      <c r="I108" s="423">
        <f t="shared" si="43"/>
        <v>70701.507339176504</v>
      </c>
      <c r="J108" s="423">
        <f t="shared" si="43"/>
        <v>70701.507339176504</v>
      </c>
      <c r="K108" s="423">
        <f t="shared" si="43"/>
        <v>70701.507339176504</v>
      </c>
      <c r="L108" s="423">
        <f t="shared" si="43"/>
        <v>70701.507339176504</v>
      </c>
    </row>
    <row r="109" spans="1:12">
      <c r="A109" s="420" t="s">
        <v>418</v>
      </c>
      <c r="B109" s="421"/>
      <c r="C109" s="414"/>
      <c r="D109" s="414"/>
      <c r="E109" s="414"/>
      <c r="F109" s="414"/>
      <c r="G109" s="414"/>
      <c r="H109" s="414"/>
      <c r="I109" s="414"/>
      <c r="J109" s="414"/>
      <c r="K109" s="414"/>
      <c r="L109" s="414"/>
    </row>
    <row r="110" spans="1:12">
      <c r="A110" s="291" t="s">
        <v>416</v>
      </c>
      <c r="B110" s="409"/>
      <c r="C110" s="423">
        <f>(L81)+(L80*AJ7)</f>
        <v>70284.450337360817</v>
      </c>
      <c r="D110" s="423">
        <f t="shared" ref="D110:L110" si="44">(C110)+(C109*AK7)</f>
        <v>70284.450337360817</v>
      </c>
      <c r="E110" s="423">
        <f t="shared" si="44"/>
        <v>70284.450337360817</v>
      </c>
      <c r="F110" s="423">
        <f t="shared" si="44"/>
        <v>70284.450337360817</v>
      </c>
      <c r="G110" s="423">
        <f t="shared" si="44"/>
        <v>70284.450337360817</v>
      </c>
      <c r="H110" s="423">
        <f t="shared" si="44"/>
        <v>70284.450337360817</v>
      </c>
      <c r="I110" s="423">
        <f t="shared" si="44"/>
        <v>70284.450337360817</v>
      </c>
      <c r="J110" s="423">
        <f t="shared" si="44"/>
        <v>70284.450337360817</v>
      </c>
      <c r="K110" s="423">
        <f t="shared" si="44"/>
        <v>70284.450337360817</v>
      </c>
      <c r="L110" s="423">
        <f t="shared" si="44"/>
        <v>70284.450337360817</v>
      </c>
    </row>
    <row r="111" spans="1:12">
      <c r="A111" s="420" t="s">
        <v>419</v>
      </c>
      <c r="B111" s="421"/>
      <c r="C111" s="414"/>
      <c r="D111" s="414"/>
      <c r="E111" s="414"/>
      <c r="F111" s="414"/>
      <c r="G111" s="414"/>
      <c r="H111" s="414"/>
      <c r="I111" s="414"/>
      <c r="J111" s="414"/>
      <c r="K111" s="414"/>
      <c r="L111" s="414"/>
    </row>
    <row r="112" spans="1:12">
      <c r="A112" s="291" t="s">
        <v>416</v>
      </c>
      <c r="B112" s="409"/>
      <c r="C112" s="423">
        <f>(L83)+(L82*AJ8)</f>
        <v>60443.264835033006</v>
      </c>
      <c r="D112" s="423">
        <f t="shared" ref="D112:L112" si="45">(C112)+(C111*AK8)</f>
        <v>60443.264835033006</v>
      </c>
      <c r="E112" s="423">
        <f t="shared" si="45"/>
        <v>60443.264835033006</v>
      </c>
      <c r="F112" s="423">
        <f t="shared" si="45"/>
        <v>60443.264835033006</v>
      </c>
      <c r="G112" s="423">
        <f t="shared" si="45"/>
        <v>60443.264835033006</v>
      </c>
      <c r="H112" s="423">
        <f t="shared" si="45"/>
        <v>60443.264835033006</v>
      </c>
      <c r="I112" s="423">
        <f t="shared" si="45"/>
        <v>60443.264835033006</v>
      </c>
      <c r="J112" s="423">
        <f t="shared" si="45"/>
        <v>60443.264835033006</v>
      </c>
      <c r="K112" s="423">
        <f t="shared" si="45"/>
        <v>60443.264835033006</v>
      </c>
      <c r="L112" s="423">
        <f t="shared" si="45"/>
        <v>60443.264835033006</v>
      </c>
    </row>
    <row r="113" spans="1:12">
      <c r="A113" s="420" t="s">
        <v>420</v>
      </c>
      <c r="B113" s="421"/>
      <c r="C113" s="414"/>
      <c r="D113" s="414"/>
      <c r="E113" s="414"/>
      <c r="F113" s="414"/>
      <c r="G113" s="414"/>
      <c r="H113" s="414"/>
      <c r="I113" s="414"/>
      <c r="J113" s="414"/>
      <c r="K113" s="414"/>
      <c r="L113" s="414"/>
    </row>
    <row r="114" spans="1:12">
      <c r="A114" s="291" t="s">
        <v>416</v>
      </c>
      <c r="B114" s="409"/>
      <c r="C114" s="423">
        <f>(L85)+(L84*AJ9)</f>
        <v>43835.588476030527</v>
      </c>
      <c r="D114" s="423">
        <f t="shared" ref="D114:L114" si="46">(C114)+(C113*AK9)</f>
        <v>43835.588476030527</v>
      </c>
      <c r="E114" s="423">
        <f t="shared" si="46"/>
        <v>43835.588476030527</v>
      </c>
      <c r="F114" s="423">
        <f t="shared" si="46"/>
        <v>43835.588476030527</v>
      </c>
      <c r="G114" s="423">
        <f t="shared" si="46"/>
        <v>43835.588476030527</v>
      </c>
      <c r="H114" s="423">
        <f t="shared" si="46"/>
        <v>43835.588476030527</v>
      </c>
      <c r="I114" s="423">
        <f t="shared" si="46"/>
        <v>43835.588476030527</v>
      </c>
      <c r="J114" s="423">
        <f t="shared" si="46"/>
        <v>43835.588476030527</v>
      </c>
      <c r="K114" s="423">
        <f t="shared" si="46"/>
        <v>43835.588476030527</v>
      </c>
      <c r="L114" s="423">
        <f t="shared" si="46"/>
        <v>43835.588476030527</v>
      </c>
    </row>
    <row r="115" spans="1:12">
      <c r="A115" s="420" t="s">
        <v>421</v>
      </c>
      <c r="B115" s="421"/>
      <c r="C115" s="414"/>
      <c r="D115" s="414"/>
      <c r="E115" s="414"/>
      <c r="F115" s="414"/>
      <c r="G115" s="414"/>
      <c r="H115" s="414"/>
      <c r="I115" s="414"/>
      <c r="J115" s="414"/>
      <c r="K115" s="414"/>
      <c r="L115" s="414"/>
    </row>
    <row r="116" spans="1:12">
      <c r="A116" s="291" t="s">
        <v>416</v>
      </c>
      <c r="B116" s="409"/>
      <c r="C116" s="423">
        <f>(L87)+(L86*AJ10)</f>
        <v>37676.663941544764</v>
      </c>
      <c r="D116" s="423">
        <f t="shared" ref="D116:L116" si="47">(C116)+(C115*AK10)</f>
        <v>37676.663941544764</v>
      </c>
      <c r="E116" s="423">
        <f t="shared" si="47"/>
        <v>37676.663941544764</v>
      </c>
      <c r="F116" s="423">
        <f t="shared" si="47"/>
        <v>37676.663941544764</v>
      </c>
      <c r="G116" s="423">
        <f t="shared" si="47"/>
        <v>37676.663941544764</v>
      </c>
      <c r="H116" s="423">
        <f t="shared" si="47"/>
        <v>37676.663941544764</v>
      </c>
      <c r="I116" s="423">
        <f t="shared" si="47"/>
        <v>37676.663941544764</v>
      </c>
      <c r="J116" s="423">
        <f t="shared" si="47"/>
        <v>37676.663941544764</v>
      </c>
      <c r="K116" s="423">
        <f t="shared" si="47"/>
        <v>37676.663941544764</v>
      </c>
      <c r="L116" s="423">
        <f t="shared" si="47"/>
        <v>37676.663941544764</v>
      </c>
    </row>
    <row r="117" spans="1:12">
      <c r="B117" s="424"/>
      <c r="C117" s="404"/>
      <c r="D117" s="404"/>
      <c r="E117" s="404"/>
      <c r="F117" s="404"/>
      <c r="G117" s="404"/>
      <c r="H117" s="404"/>
      <c r="I117" s="404"/>
      <c r="J117" s="404"/>
      <c r="K117" s="404"/>
      <c r="L117" s="404"/>
    </row>
    <row r="118" spans="1:12">
      <c r="A118" s="425" t="s">
        <v>422</v>
      </c>
      <c r="B118" s="426"/>
      <c r="C118" s="423"/>
      <c r="D118" s="423"/>
      <c r="E118" s="423"/>
      <c r="F118" s="423"/>
      <c r="G118" s="423"/>
      <c r="H118" s="423"/>
      <c r="I118" s="423"/>
      <c r="J118" s="423"/>
      <c r="K118" s="423"/>
      <c r="L118" s="423"/>
    </row>
    <row r="119" spans="1:12">
      <c r="A119" s="408" t="s">
        <v>423</v>
      </c>
      <c r="B119" s="409"/>
      <c r="C119" s="423">
        <f>(L90)+(L89*AJ11)</f>
        <v>94558.521345304966</v>
      </c>
      <c r="D119" s="423">
        <f t="shared" ref="D119:L119" si="48">(C119)+(C118*AK11)</f>
        <v>94558.521345304966</v>
      </c>
      <c r="E119" s="423">
        <f t="shared" si="48"/>
        <v>94558.521345304966</v>
      </c>
      <c r="F119" s="423">
        <f t="shared" si="48"/>
        <v>94558.521345304966</v>
      </c>
      <c r="G119" s="423">
        <f t="shared" si="48"/>
        <v>94558.521345304966</v>
      </c>
      <c r="H119" s="423">
        <f t="shared" si="48"/>
        <v>94558.521345304966</v>
      </c>
      <c r="I119" s="423">
        <f t="shared" si="48"/>
        <v>94558.521345304966</v>
      </c>
      <c r="J119" s="423">
        <f t="shared" si="48"/>
        <v>94558.521345304966</v>
      </c>
      <c r="K119" s="423">
        <f t="shared" si="48"/>
        <v>94558.521345304966</v>
      </c>
      <c r="L119" s="423">
        <f t="shared" si="48"/>
        <v>94558.521345304966</v>
      </c>
    </row>
    <row r="120" spans="1:12">
      <c r="A120" s="425" t="s">
        <v>424</v>
      </c>
      <c r="B120" s="426"/>
      <c r="C120" s="423"/>
      <c r="D120" s="423"/>
      <c r="E120" s="423"/>
      <c r="F120" s="423"/>
      <c r="G120" s="423"/>
      <c r="H120" s="423"/>
      <c r="I120" s="423"/>
      <c r="J120" s="423"/>
      <c r="K120" s="423"/>
      <c r="L120" s="423"/>
    </row>
    <row r="121" spans="1:12">
      <c r="A121" s="408" t="s">
        <v>423</v>
      </c>
      <c r="B121" s="409"/>
      <c r="C121" s="423">
        <f>(L92)+(L91*AJ12)</f>
        <v>7660.49</v>
      </c>
      <c r="D121" s="423">
        <f t="shared" ref="D121:L121" si="49">(C121)+(C120*AK12)</f>
        <v>7660.49</v>
      </c>
      <c r="E121" s="423">
        <f t="shared" si="49"/>
        <v>7660.49</v>
      </c>
      <c r="F121" s="423">
        <f t="shared" si="49"/>
        <v>7660.49</v>
      </c>
      <c r="G121" s="423">
        <f t="shared" si="49"/>
        <v>7660.49</v>
      </c>
      <c r="H121" s="423">
        <f t="shared" si="49"/>
        <v>7660.49</v>
      </c>
      <c r="I121" s="423">
        <f t="shared" si="49"/>
        <v>7660.49</v>
      </c>
      <c r="J121" s="423">
        <f t="shared" si="49"/>
        <v>7660.49</v>
      </c>
      <c r="K121" s="423">
        <f t="shared" si="49"/>
        <v>7660.49</v>
      </c>
      <c r="L121" s="423">
        <f t="shared" si="49"/>
        <v>7660.49</v>
      </c>
    </row>
    <row r="122" spans="1:12">
      <c r="A122" s="425" t="s">
        <v>425</v>
      </c>
      <c r="B122" s="426"/>
      <c r="C122" s="414"/>
      <c r="D122" s="414"/>
      <c r="E122" s="414"/>
      <c r="F122" s="414"/>
      <c r="G122" s="414"/>
      <c r="H122" s="414"/>
      <c r="I122" s="414"/>
      <c r="J122" s="414"/>
      <c r="K122" s="414"/>
      <c r="L122" s="414"/>
    </row>
    <row r="123" spans="1:12">
      <c r="A123" s="408" t="s">
        <v>423</v>
      </c>
      <c r="B123" s="409"/>
      <c r="C123" s="423">
        <f>(L94)+(L93*AJ13)</f>
        <v>445</v>
      </c>
      <c r="D123" s="423">
        <f t="shared" ref="D123:L123" si="50">(C123)+(C122*AK13)</f>
        <v>445</v>
      </c>
      <c r="E123" s="423">
        <f t="shared" si="50"/>
        <v>445</v>
      </c>
      <c r="F123" s="423">
        <f t="shared" si="50"/>
        <v>445</v>
      </c>
      <c r="G123" s="423">
        <f t="shared" si="50"/>
        <v>445</v>
      </c>
      <c r="H123" s="423">
        <f t="shared" si="50"/>
        <v>445</v>
      </c>
      <c r="I123" s="423">
        <f t="shared" si="50"/>
        <v>445</v>
      </c>
      <c r="J123" s="423">
        <f t="shared" si="50"/>
        <v>445</v>
      </c>
      <c r="K123" s="423">
        <f t="shared" si="50"/>
        <v>445</v>
      </c>
      <c r="L123" s="423">
        <f t="shared" si="50"/>
        <v>445</v>
      </c>
    </row>
    <row r="124" spans="1:12">
      <c r="B124" s="424"/>
    </row>
    <row r="125" spans="1:12">
      <c r="A125" s="414" t="s">
        <v>426</v>
      </c>
      <c r="B125" s="428"/>
      <c r="C125" s="414"/>
      <c r="D125" s="414"/>
      <c r="E125" s="414"/>
      <c r="F125" s="414"/>
      <c r="G125" s="414"/>
      <c r="H125" s="414"/>
      <c r="I125" s="414"/>
      <c r="J125" s="414"/>
      <c r="K125" s="414"/>
      <c r="L125" s="414"/>
    </row>
    <row r="126" spans="1:12">
      <c r="A126" s="414" t="s">
        <v>427</v>
      </c>
      <c r="B126" s="429"/>
      <c r="C126" s="423">
        <f t="shared" ref="C126:L126" si="51">SUM(C106,C108,C110,C112,C114,C116)</f>
        <v>391592.13676359394</v>
      </c>
      <c r="D126" s="423">
        <f t="shared" si="51"/>
        <v>391592.13676359394</v>
      </c>
      <c r="E126" s="423">
        <f t="shared" si="51"/>
        <v>391592.13676359394</v>
      </c>
      <c r="F126" s="423">
        <f t="shared" si="51"/>
        <v>391592.13676359394</v>
      </c>
      <c r="G126" s="423">
        <f t="shared" si="51"/>
        <v>391592.13676359394</v>
      </c>
      <c r="H126" s="423">
        <f t="shared" si="51"/>
        <v>391592.13676359394</v>
      </c>
      <c r="I126" s="423">
        <f t="shared" si="51"/>
        <v>391592.13676359394</v>
      </c>
      <c r="J126" s="423">
        <f t="shared" si="51"/>
        <v>391592.13676359394</v>
      </c>
      <c r="K126" s="423">
        <f t="shared" si="51"/>
        <v>391592.13676359394</v>
      </c>
      <c r="L126" s="423">
        <f t="shared" si="51"/>
        <v>391592.13676359394</v>
      </c>
    </row>
    <row r="127" spans="1:12">
      <c r="A127" s="414" t="s">
        <v>428</v>
      </c>
      <c r="B127" s="428"/>
      <c r="C127" s="414"/>
      <c r="D127" s="414"/>
      <c r="E127" s="414"/>
      <c r="F127" s="414"/>
      <c r="G127" s="414"/>
      <c r="H127" s="414"/>
      <c r="I127" s="414"/>
      <c r="J127" s="414"/>
      <c r="K127" s="414"/>
      <c r="L127" s="414"/>
    </row>
    <row r="128" spans="1:12">
      <c r="A128" s="414" t="s">
        <v>429</v>
      </c>
      <c r="B128" s="429"/>
      <c r="C128" s="423">
        <f t="shared" ref="C128:L128" si="52">SUM(C119,C121,C123)</f>
        <v>102664.01134530497</v>
      </c>
      <c r="D128" s="423">
        <f t="shared" si="52"/>
        <v>102664.01134530497</v>
      </c>
      <c r="E128" s="423">
        <f t="shared" si="52"/>
        <v>102664.01134530497</v>
      </c>
      <c r="F128" s="423">
        <f t="shared" si="52"/>
        <v>102664.01134530497</v>
      </c>
      <c r="G128" s="423">
        <f t="shared" si="52"/>
        <v>102664.01134530497</v>
      </c>
      <c r="H128" s="423">
        <f t="shared" si="52"/>
        <v>102664.01134530497</v>
      </c>
      <c r="I128" s="423">
        <f t="shared" si="52"/>
        <v>102664.01134530497</v>
      </c>
      <c r="J128" s="423">
        <f t="shared" si="52"/>
        <v>102664.01134530497</v>
      </c>
      <c r="K128" s="423">
        <f t="shared" si="52"/>
        <v>102664.01134530497</v>
      </c>
      <c r="L128" s="423">
        <f t="shared" si="52"/>
        <v>102664.01134530497</v>
      </c>
    </row>
    <row r="130" spans="1:12">
      <c r="A130" s="414" t="s">
        <v>430</v>
      </c>
      <c r="B130" s="423"/>
      <c r="C130" s="432">
        <f t="shared" ref="C130:L130" si="53">C126+C128</f>
        <v>494256.14810889889</v>
      </c>
      <c r="D130" s="432">
        <f t="shared" si="53"/>
        <v>494256.14810889889</v>
      </c>
      <c r="E130" s="432">
        <f t="shared" si="53"/>
        <v>494256.14810889889</v>
      </c>
      <c r="F130" s="432">
        <f t="shared" si="53"/>
        <v>494256.14810889889</v>
      </c>
      <c r="G130" s="432">
        <f t="shared" si="53"/>
        <v>494256.14810889889</v>
      </c>
      <c r="H130" s="432">
        <f t="shared" si="53"/>
        <v>494256.14810889889</v>
      </c>
      <c r="I130" s="432">
        <f t="shared" si="53"/>
        <v>494256.14810889889</v>
      </c>
      <c r="J130" s="432">
        <f t="shared" si="53"/>
        <v>494256.14810889889</v>
      </c>
      <c r="K130" s="432">
        <f t="shared" si="53"/>
        <v>494256.14810889889</v>
      </c>
      <c r="L130" s="432">
        <f t="shared" si="53"/>
        <v>494256.14810889889</v>
      </c>
    </row>
    <row r="132" spans="1:12">
      <c r="C132" s="411" t="s">
        <v>393</v>
      </c>
      <c r="D132" s="411" t="s">
        <v>394</v>
      </c>
      <c r="E132" s="411" t="s">
        <v>395</v>
      </c>
      <c r="F132" s="411" t="s">
        <v>396</v>
      </c>
      <c r="G132" s="411" t="s">
        <v>397</v>
      </c>
      <c r="H132" s="411" t="s">
        <v>398</v>
      </c>
      <c r="I132" s="411" t="s">
        <v>399</v>
      </c>
      <c r="J132" s="411" t="s">
        <v>400</v>
      </c>
      <c r="K132" s="411" t="s">
        <v>401</v>
      </c>
      <c r="L132" s="411" t="s">
        <v>402</v>
      </c>
    </row>
    <row r="133" spans="1:12">
      <c r="A133" s="414" t="s">
        <v>413</v>
      </c>
      <c r="B133" s="411"/>
      <c r="C133" s="418"/>
      <c r="D133" s="418"/>
      <c r="E133" s="418"/>
      <c r="F133" s="418"/>
      <c r="G133" s="418"/>
      <c r="H133" s="418"/>
      <c r="I133" s="418"/>
      <c r="J133" s="418"/>
      <c r="K133" s="418"/>
      <c r="L133" s="418"/>
    </row>
    <row r="134" spans="1:12">
      <c r="A134" s="420" t="s">
        <v>414</v>
      </c>
      <c r="B134" s="421"/>
      <c r="C134" s="414"/>
      <c r="D134" s="414"/>
      <c r="E134" s="414"/>
      <c r="F134" s="414"/>
      <c r="G134" s="414"/>
      <c r="H134" s="414"/>
      <c r="I134" s="414"/>
      <c r="J134" s="414"/>
      <c r="K134" s="414"/>
      <c r="L134" s="414"/>
    </row>
    <row r="135" spans="1:12">
      <c r="A135" s="291" t="s">
        <v>416</v>
      </c>
      <c r="B135" s="409"/>
      <c r="C135" s="423">
        <f>(L106)+(L105*AT5)</f>
        <v>108650.66183444834</v>
      </c>
      <c r="D135" s="423">
        <f t="shared" ref="D135:L135" si="54">(C135)+(C134*AU5)</f>
        <v>108650.66183444834</v>
      </c>
      <c r="E135" s="423">
        <f t="shared" si="54"/>
        <v>108650.66183444834</v>
      </c>
      <c r="F135" s="423">
        <f t="shared" si="54"/>
        <v>108650.66183444834</v>
      </c>
      <c r="G135" s="423">
        <f t="shared" si="54"/>
        <v>108650.66183444834</v>
      </c>
      <c r="H135" s="423">
        <f t="shared" si="54"/>
        <v>108650.66183444834</v>
      </c>
      <c r="I135" s="423">
        <f t="shared" si="54"/>
        <v>108650.66183444834</v>
      </c>
      <c r="J135" s="423">
        <f t="shared" si="54"/>
        <v>108650.66183444834</v>
      </c>
      <c r="K135" s="423">
        <f t="shared" si="54"/>
        <v>108650.66183444834</v>
      </c>
      <c r="L135" s="423">
        <f t="shared" si="54"/>
        <v>108650.66183444834</v>
      </c>
    </row>
    <row r="136" spans="1:12">
      <c r="A136" s="420" t="s">
        <v>417</v>
      </c>
      <c r="B136" s="421"/>
      <c r="C136" s="414"/>
      <c r="D136" s="414"/>
      <c r="E136" s="414"/>
      <c r="F136" s="414"/>
      <c r="G136" s="414"/>
      <c r="H136" s="414"/>
      <c r="I136" s="414"/>
      <c r="J136" s="414"/>
      <c r="K136" s="414"/>
      <c r="L136" s="414"/>
    </row>
    <row r="137" spans="1:12">
      <c r="A137" s="291" t="s">
        <v>416</v>
      </c>
      <c r="B137" s="409"/>
      <c r="C137" s="423">
        <f>(L108)+(L107*AT6)</f>
        <v>70701.507339176504</v>
      </c>
      <c r="D137" s="423">
        <f t="shared" ref="D137:L137" si="55">(C137)+(C136*AU6)</f>
        <v>70701.507339176504</v>
      </c>
      <c r="E137" s="423">
        <f t="shared" si="55"/>
        <v>70701.507339176504</v>
      </c>
      <c r="F137" s="423">
        <f t="shared" si="55"/>
        <v>70701.507339176504</v>
      </c>
      <c r="G137" s="423">
        <f t="shared" si="55"/>
        <v>70701.507339176504</v>
      </c>
      <c r="H137" s="423">
        <f t="shared" si="55"/>
        <v>70701.507339176504</v>
      </c>
      <c r="I137" s="423">
        <f t="shared" si="55"/>
        <v>70701.507339176504</v>
      </c>
      <c r="J137" s="423">
        <f t="shared" si="55"/>
        <v>70701.507339176504</v>
      </c>
      <c r="K137" s="423">
        <f t="shared" si="55"/>
        <v>70701.507339176504</v>
      </c>
      <c r="L137" s="423">
        <f t="shared" si="55"/>
        <v>70701.507339176504</v>
      </c>
    </row>
    <row r="138" spans="1:12">
      <c r="A138" s="420" t="s">
        <v>418</v>
      </c>
      <c r="B138" s="421"/>
      <c r="C138" s="414"/>
      <c r="D138" s="414"/>
      <c r="E138" s="414"/>
      <c r="F138" s="414"/>
      <c r="G138" s="414"/>
      <c r="H138" s="414"/>
      <c r="I138" s="414"/>
      <c r="J138" s="414"/>
      <c r="K138" s="414"/>
      <c r="L138" s="414"/>
    </row>
    <row r="139" spans="1:12">
      <c r="A139" s="291" t="s">
        <v>416</v>
      </c>
      <c r="B139" s="409"/>
      <c r="C139" s="423">
        <f>(L110)+(L109*AT7)</f>
        <v>70284.450337360817</v>
      </c>
      <c r="D139" s="423">
        <f t="shared" ref="D139:L139" si="56">(C139)+(C138*AU7)</f>
        <v>70284.450337360817</v>
      </c>
      <c r="E139" s="423">
        <f t="shared" si="56"/>
        <v>70284.450337360817</v>
      </c>
      <c r="F139" s="423">
        <f t="shared" si="56"/>
        <v>70284.450337360817</v>
      </c>
      <c r="G139" s="423">
        <f t="shared" si="56"/>
        <v>70284.450337360817</v>
      </c>
      <c r="H139" s="423">
        <f t="shared" si="56"/>
        <v>70284.450337360817</v>
      </c>
      <c r="I139" s="423">
        <f t="shared" si="56"/>
        <v>70284.450337360817</v>
      </c>
      <c r="J139" s="423">
        <f t="shared" si="56"/>
        <v>70284.450337360817</v>
      </c>
      <c r="K139" s="423">
        <f t="shared" si="56"/>
        <v>70284.450337360817</v>
      </c>
      <c r="L139" s="423">
        <f t="shared" si="56"/>
        <v>70284.450337360817</v>
      </c>
    </row>
    <row r="140" spans="1:12">
      <c r="A140" s="420" t="s">
        <v>419</v>
      </c>
      <c r="B140" s="421"/>
      <c r="C140" s="414"/>
      <c r="D140" s="414"/>
      <c r="E140" s="414"/>
      <c r="F140" s="414"/>
      <c r="G140" s="414"/>
      <c r="H140" s="414"/>
      <c r="I140" s="414"/>
      <c r="J140" s="414"/>
      <c r="K140" s="414"/>
      <c r="L140" s="414"/>
    </row>
    <row r="141" spans="1:12">
      <c r="A141" s="291" t="s">
        <v>416</v>
      </c>
      <c r="B141" s="409"/>
      <c r="C141" s="423">
        <f>(L112)+(L111*AT8)</f>
        <v>60443.264835033006</v>
      </c>
      <c r="D141" s="423">
        <f t="shared" ref="D141:L141" si="57">(C141)+(C140*AU8)</f>
        <v>60443.264835033006</v>
      </c>
      <c r="E141" s="423">
        <f t="shared" si="57"/>
        <v>60443.264835033006</v>
      </c>
      <c r="F141" s="423">
        <f t="shared" si="57"/>
        <v>60443.264835033006</v>
      </c>
      <c r="G141" s="423">
        <f t="shared" si="57"/>
        <v>60443.264835033006</v>
      </c>
      <c r="H141" s="423">
        <f t="shared" si="57"/>
        <v>60443.264835033006</v>
      </c>
      <c r="I141" s="423">
        <f t="shared" si="57"/>
        <v>60443.264835033006</v>
      </c>
      <c r="J141" s="423">
        <f t="shared" si="57"/>
        <v>60443.264835033006</v>
      </c>
      <c r="K141" s="423">
        <f t="shared" si="57"/>
        <v>60443.264835033006</v>
      </c>
      <c r="L141" s="423">
        <f t="shared" si="57"/>
        <v>60443.264835033006</v>
      </c>
    </row>
    <row r="142" spans="1:12">
      <c r="A142" s="420" t="s">
        <v>420</v>
      </c>
      <c r="B142" s="421"/>
      <c r="C142" s="414"/>
      <c r="D142" s="414"/>
      <c r="E142" s="414"/>
      <c r="F142" s="414"/>
      <c r="G142" s="414"/>
      <c r="H142" s="414"/>
      <c r="I142" s="414"/>
      <c r="J142" s="414"/>
      <c r="K142" s="414"/>
      <c r="L142" s="414"/>
    </row>
    <row r="143" spans="1:12">
      <c r="A143" s="291" t="s">
        <v>416</v>
      </c>
      <c r="B143" s="409"/>
      <c r="C143" s="423">
        <f>(L114)+(L113*AT9)</f>
        <v>43835.588476030527</v>
      </c>
      <c r="D143" s="423">
        <f t="shared" ref="D143:L143" si="58">(C143)+(C142*AU9)</f>
        <v>43835.588476030527</v>
      </c>
      <c r="E143" s="423">
        <f t="shared" si="58"/>
        <v>43835.588476030527</v>
      </c>
      <c r="F143" s="423">
        <f t="shared" si="58"/>
        <v>43835.588476030527</v>
      </c>
      <c r="G143" s="423">
        <f t="shared" si="58"/>
        <v>43835.588476030527</v>
      </c>
      <c r="H143" s="423">
        <f t="shared" si="58"/>
        <v>43835.588476030527</v>
      </c>
      <c r="I143" s="423">
        <f t="shared" si="58"/>
        <v>43835.588476030527</v>
      </c>
      <c r="J143" s="423">
        <f t="shared" si="58"/>
        <v>43835.588476030527</v>
      </c>
      <c r="K143" s="423">
        <f t="shared" si="58"/>
        <v>43835.588476030527</v>
      </c>
      <c r="L143" s="423">
        <f t="shared" si="58"/>
        <v>43835.588476030527</v>
      </c>
    </row>
    <row r="144" spans="1:12">
      <c r="A144" s="420" t="s">
        <v>421</v>
      </c>
      <c r="B144" s="421"/>
      <c r="C144" s="414"/>
      <c r="D144" s="414"/>
      <c r="E144" s="414"/>
      <c r="F144" s="414"/>
      <c r="G144" s="414"/>
      <c r="H144" s="414"/>
      <c r="I144" s="414"/>
      <c r="J144" s="414"/>
      <c r="K144" s="414"/>
      <c r="L144" s="414"/>
    </row>
    <row r="145" spans="1:12">
      <c r="A145" s="291" t="s">
        <v>416</v>
      </c>
      <c r="B145" s="409"/>
      <c r="C145" s="423">
        <f>(L116)+(L115*AT10)</f>
        <v>37676.663941544764</v>
      </c>
      <c r="D145" s="423">
        <f t="shared" ref="D145:L145" si="59">(C145)+(C144*AU10)</f>
        <v>37676.663941544764</v>
      </c>
      <c r="E145" s="423">
        <f t="shared" si="59"/>
        <v>37676.663941544764</v>
      </c>
      <c r="F145" s="423">
        <f t="shared" si="59"/>
        <v>37676.663941544764</v>
      </c>
      <c r="G145" s="423">
        <f t="shared" si="59"/>
        <v>37676.663941544764</v>
      </c>
      <c r="H145" s="423">
        <f t="shared" si="59"/>
        <v>37676.663941544764</v>
      </c>
      <c r="I145" s="423">
        <f t="shared" si="59"/>
        <v>37676.663941544764</v>
      </c>
      <c r="J145" s="423">
        <f t="shared" si="59"/>
        <v>37676.663941544764</v>
      </c>
      <c r="K145" s="423">
        <f t="shared" si="59"/>
        <v>37676.663941544764</v>
      </c>
      <c r="L145" s="423">
        <f t="shared" si="59"/>
        <v>37676.663941544764</v>
      </c>
    </row>
    <row r="146" spans="1:12">
      <c r="B146" s="424"/>
      <c r="C146" s="404"/>
      <c r="D146" s="404"/>
      <c r="E146" s="404"/>
      <c r="F146" s="404"/>
      <c r="G146" s="404"/>
      <c r="H146" s="404"/>
      <c r="I146" s="404"/>
      <c r="J146" s="404"/>
      <c r="K146" s="404"/>
      <c r="L146" s="404"/>
    </row>
    <row r="147" spans="1:12">
      <c r="A147" s="425" t="s">
        <v>422</v>
      </c>
      <c r="B147" s="426"/>
      <c r="C147" s="423"/>
      <c r="D147" s="423"/>
      <c r="E147" s="423"/>
      <c r="F147" s="423"/>
      <c r="G147" s="423"/>
      <c r="H147" s="423"/>
      <c r="I147" s="423"/>
      <c r="J147" s="423"/>
      <c r="K147" s="423"/>
      <c r="L147" s="423"/>
    </row>
    <row r="148" spans="1:12">
      <c r="A148" s="408" t="s">
        <v>423</v>
      </c>
      <c r="B148" s="409"/>
      <c r="C148" s="423">
        <f>(L119)+(L118*AT11)</f>
        <v>94558.521345304966</v>
      </c>
      <c r="D148" s="423">
        <f t="shared" ref="D148:L148" si="60">(C148)+(C147*AU11)</f>
        <v>94558.521345304966</v>
      </c>
      <c r="E148" s="423">
        <f t="shared" si="60"/>
        <v>94558.521345304966</v>
      </c>
      <c r="F148" s="423">
        <f t="shared" si="60"/>
        <v>94558.521345304966</v>
      </c>
      <c r="G148" s="423">
        <f t="shared" si="60"/>
        <v>94558.521345304966</v>
      </c>
      <c r="H148" s="423">
        <f t="shared" si="60"/>
        <v>94558.521345304966</v>
      </c>
      <c r="I148" s="423">
        <f t="shared" si="60"/>
        <v>94558.521345304966</v>
      </c>
      <c r="J148" s="423">
        <f t="shared" si="60"/>
        <v>94558.521345304966</v>
      </c>
      <c r="K148" s="423">
        <f t="shared" si="60"/>
        <v>94558.521345304966</v>
      </c>
      <c r="L148" s="423">
        <f t="shared" si="60"/>
        <v>94558.521345304966</v>
      </c>
    </row>
    <row r="149" spans="1:12">
      <c r="A149" s="425" t="s">
        <v>424</v>
      </c>
      <c r="B149" s="426"/>
      <c r="C149" s="423"/>
      <c r="D149" s="423"/>
      <c r="E149" s="423"/>
      <c r="F149" s="423"/>
      <c r="G149" s="423"/>
      <c r="H149" s="423"/>
      <c r="I149" s="423"/>
      <c r="J149" s="423"/>
      <c r="K149" s="423"/>
      <c r="L149" s="423"/>
    </row>
    <row r="150" spans="1:12">
      <c r="A150" s="408" t="s">
        <v>423</v>
      </c>
      <c r="B150" s="409"/>
      <c r="C150" s="423">
        <f>(L121)+(L120*AT12)</f>
        <v>7660.49</v>
      </c>
      <c r="D150" s="423">
        <f t="shared" ref="D150:L150" si="61">(C150)+(C149*AU12)</f>
        <v>7660.49</v>
      </c>
      <c r="E150" s="423">
        <f t="shared" si="61"/>
        <v>7660.49</v>
      </c>
      <c r="F150" s="423">
        <f t="shared" si="61"/>
        <v>7660.49</v>
      </c>
      <c r="G150" s="423">
        <f t="shared" si="61"/>
        <v>7660.49</v>
      </c>
      <c r="H150" s="423">
        <f t="shared" si="61"/>
        <v>7660.49</v>
      </c>
      <c r="I150" s="423">
        <f t="shared" si="61"/>
        <v>7660.49</v>
      </c>
      <c r="J150" s="423">
        <f t="shared" si="61"/>
        <v>7660.49</v>
      </c>
      <c r="K150" s="423">
        <f t="shared" si="61"/>
        <v>7660.49</v>
      </c>
      <c r="L150" s="423">
        <f t="shared" si="61"/>
        <v>7660.49</v>
      </c>
    </row>
    <row r="151" spans="1:12">
      <c r="A151" s="425" t="s">
        <v>425</v>
      </c>
      <c r="B151" s="426"/>
      <c r="C151" s="414"/>
      <c r="D151" s="414"/>
      <c r="E151" s="414"/>
      <c r="F151" s="414"/>
      <c r="G151" s="414"/>
      <c r="H151" s="414"/>
      <c r="I151" s="414"/>
      <c r="J151" s="414"/>
      <c r="K151" s="414"/>
      <c r="L151" s="414"/>
    </row>
    <row r="152" spans="1:12">
      <c r="A152" s="408" t="s">
        <v>423</v>
      </c>
      <c r="B152" s="409"/>
      <c r="C152" s="423">
        <f>(L123)+(L122*AT13)</f>
        <v>445</v>
      </c>
      <c r="D152" s="423">
        <f t="shared" ref="D152:L152" si="62">(C152)+(C151*AU13)</f>
        <v>445</v>
      </c>
      <c r="E152" s="423">
        <f t="shared" si="62"/>
        <v>445</v>
      </c>
      <c r="F152" s="423">
        <f t="shared" si="62"/>
        <v>445</v>
      </c>
      <c r="G152" s="423">
        <f t="shared" si="62"/>
        <v>445</v>
      </c>
      <c r="H152" s="423">
        <f t="shared" si="62"/>
        <v>445</v>
      </c>
      <c r="I152" s="423">
        <f t="shared" si="62"/>
        <v>445</v>
      </c>
      <c r="J152" s="423">
        <f t="shared" si="62"/>
        <v>445</v>
      </c>
      <c r="K152" s="423">
        <f t="shared" si="62"/>
        <v>445</v>
      </c>
      <c r="L152" s="423">
        <f t="shared" si="62"/>
        <v>445</v>
      </c>
    </row>
    <row r="153" spans="1:12">
      <c r="B153" s="424"/>
    </row>
    <row r="154" spans="1:12">
      <c r="A154" s="414" t="s">
        <v>426</v>
      </c>
      <c r="B154" s="428"/>
      <c r="C154" s="414"/>
      <c r="D154" s="414"/>
      <c r="E154" s="414"/>
      <c r="F154" s="414"/>
      <c r="G154" s="414"/>
      <c r="H154" s="414"/>
      <c r="I154" s="414"/>
      <c r="J154" s="414"/>
      <c r="K154" s="414"/>
      <c r="L154" s="414"/>
    </row>
    <row r="155" spans="1:12">
      <c r="A155" s="414" t="s">
        <v>427</v>
      </c>
      <c r="B155" s="429"/>
      <c r="C155" s="423">
        <f t="shared" ref="C155:L155" si="63">SUM(C135,C137,C139,C141,C143,C145)</f>
        <v>391592.13676359394</v>
      </c>
      <c r="D155" s="423">
        <f t="shared" si="63"/>
        <v>391592.13676359394</v>
      </c>
      <c r="E155" s="423">
        <f t="shared" si="63"/>
        <v>391592.13676359394</v>
      </c>
      <c r="F155" s="423">
        <f t="shared" si="63"/>
        <v>391592.13676359394</v>
      </c>
      <c r="G155" s="423">
        <f t="shared" si="63"/>
        <v>391592.13676359394</v>
      </c>
      <c r="H155" s="423">
        <f t="shared" si="63"/>
        <v>391592.13676359394</v>
      </c>
      <c r="I155" s="423">
        <f t="shared" si="63"/>
        <v>391592.13676359394</v>
      </c>
      <c r="J155" s="423">
        <f t="shared" si="63"/>
        <v>391592.13676359394</v>
      </c>
      <c r="K155" s="423">
        <f t="shared" si="63"/>
        <v>391592.13676359394</v>
      </c>
      <c r="L155" s="423">
        <f t="shared" si="63"/>
        <v>391592.13676359394</v>
      </c>
    </row>
    <row r="156" spans="1:12">
      <c r="A156" s="414" t="s">
        <v>428</v>
      </c>
      <c r="B156" s="428"/>
      <c r="C156" s="414"/>
      <c r="D156" s="414"/>
      <c r="E156" s="414"/>
      <c r="F156" s="414"/>
      <c r="G156" s="414"/>
      <c r="H156" s="414"/>
      <c r="I156" s="414"/>
      <c r="J156" s="414"/>
      <c r="K156" s="414"/>
      <c r="L156" s="414"/>
    </row>
    <row r="157" spans="1:12">
      <c r="A157" s="414" t="s">
        <v>429</v>
      </c>
      <c r="B157" s="429"/>
      <c r="C157" s="423">
        <f t="shared" ref="C157:L157" si="64">SUM(C148,C150,C152)</f>
        <v>102664.01134530497</v>
      </c>
      <c r="D157" s="423">
        <f t="shared" si="64"/>
        <v>102664.01134530497</v>
      </c>
      <c r="E157" s="423">
        <f t="shared" si="64"/>
        <v>102664.01134530497</v>
      </c>
      <c r="F157" s="423">
        <f t="shared" si="64"/>
        <v>102664.01134530497</v>
      </c>
      <c r="G157" s="423">
        <f t="shared" si="64"/>
        <v>102664.01134530497</v>
      </c>
      <c r="H157" s="423">
        <f t="shared" si="64"/>
        <v>102664.01134530497</v>
      </c>
      <c r="I157" s="423">
        <f t="shared" si="64"/>
        <v>102664.01134530497</v>
      </c>
      <c r="J157" s="423">
        <f t="shared" si="64"/>
        <v>102664.01134530497</v>
      </c>
      <c r="K157" s="423">
        <f t="shared" si="64"/>
        <v>102664.01134530497</v>
      </c>
      <c r="L157" s="423">
        <f t="shared" si="64"/>
        <v>102664.01134530497</v>
      </c>
    </row>
    <row r="159" spans="1:12">
      <c r="A159" s="414" t="s">
        <v>430</v>
      </c>
      <c r="B159" s="423"/>
      <c r="C159" s="432">
        <f t="shared" ref="C159:L159" si="65">C155+C157</f>
        <v>494256.14810889889</v>
      </c>
      <c r="D159" s="432">
        <f t="shared" si="65"/>
        <v>494256.14810889889</v>
      </c>
      <c r="E159" s="432">
        <f t="shared" si="65"/>
        <v>494256.14810889889</v>
      </c>
      <c r="F159" s="432">
        <f t="shared" si="65"/>
        <v>494256.14810889889</v>
      </c>
      <c r="G159" s="432">
        <f t="shared" si="65"/>
        <v>494256.14810889889</v>
      </c>
      <c r="H159" s="432">
        <f t="shared" si="65"/>
        <v>494256.14810889889</v>
      </c>
      <c r="I159" s="432">
        <f t="shared" si="65"/>
        <v>494256.14810889889</v>
      </c>
      <c r="J159" s="432">
        <f t="shared" si="65"/>
        <v>494256.14810889889</v>
      </c>
      <c r="K159" s="432">
        <f t="shared" si="65"/>
        <v>494256.14810889889</v>
      </c>
      <c r="L159" s="432">
        <f t="shared" si="65"/>
        <v>494256.14810889889</v>
      </c>
    </row>
    <row r="161" spans="1:12">
      <c r="C161" s="411" t="s">
        <v>403</v>
      </c>
      <c r="D161" s="411" t="s">
        <v>404</v>
      </c>
      <c r="E161" s="411" t="s">
        <v>405</v>
      </c>
      <c r="F161" s="411" t="s">
        <v>406</v>
      </c>
      <c r="G161" s="411" t="s">
        <v>407</v>
      </c>
      <c r="H161" s="411" t="s">
        <v>408</v>
      </c>
      <c r="I161" s="411" t="s">
        <v>409</v>
      </c>
      <c r="J161" s="411" t="s">
        <v>410</v>
      </c>
      <c r="K161" s="411" t="s">
        <v>411</v>
      </c>
      <c r="L161" s="411" t="s">
        <v>412</v>
      </c>
    </row>
    <row r="162" spans="1:12">
      <c r="A162" s="414" t="s">
        <v>413</v>
      </c>
      <c r="B162" s="411"/>
      <c r="C162" s="418"/>
      <c r="D162" s="418"/>
      <c r="E162" s="418"/>
      <c r="F162" s="418"/>
      <c r="G162" s="418"/>
      <c r="H162" s="418"/>
      <c r="I162" s="418"/>
      <c r="J162" s="418"/>
      <c r="K162" s="418"/>
      <c r="L162" s="418"/>
    </row>
    <row r="163" spans="1:12">
      <c r="A163" s="420" t="s">
        <v>414</v>
      </c>
      <c r="B163" s="421"/>
      <c r="C163" s="414"/>
      <c r="D163" s="414"/>
      <c r="E163" s="414"/>
      <c r="F163" s="414"/>
      <c r="G163" s="414"/>
      <c r="H163" s="414"/>
      <c r="I163" s="414"/>
      <c r="J163" s="414"/>
      <c r="K163" s="414"/>
      <c r="L163" s="414"/>
    </row>
    <row r="164" spans="1:12">
      <c r="A164" s="291" t="s">
        <v>416</v>
      </c>
      <c r="B164" s="409"/>
      <c r="C164" s="423">
        <f>(L135)+(L134*BD5)</f>
        <v>108650.66183444834</v>
      </c>
      <c r="D164" s="423">
        <f t="shared" ref="D164:K164" si="66">(C164)+(C163*BE5)</f>
        <v>108650.66183444834</v>
      </c>
      <c r="E164" s="423">
        <f t="shared" si="66"/>
        <v>108650.66183444834</v>
      </c>
      <c r="F164" s="423">
        <f t="shared" si="66"/>
        <v>108650.66183444834</v>
      </c>
      <c r="G164" s="423">
        <f t="shared" si="66"/>
        <v>108650.66183444834</v>
      </c>
      <c r="H164" s="423">
        <f t="shared" si="66"/>
        <v>108650.66183444834</v>
      </c>
      <c r="I164" s="423">
        <f t="shared" si="66"/>
        <v>108650.66183444834</v>
      </c>
      <c r="J164" s="423">
        <f t="shared" si="66"/>
        <v>108650.66183444834</v>
      </c>
      <c r="K164" s="423">
        <f t="shared" si="66"/>
        <v>108650.66183444834</v>
      </c>
      <c r="L164" s="423">
        <f>((K164)+(K163*BM5))</f>
        <v>108650.66183444834</v>
      </c>
    </row>
    <row r="165" spans="1:12">
      <c r="A165" s="420" t="s">
        <v>417</v>
      </c>
      <c r="B165" s="421"/>
      <c r="C165" s="414"/>
      <c r="D165" s="414"/>
      <c r="E165" s="414"/>
      <c r="F165" s="414"/>
      <c r="G165" s="414"/>
      <c r="H165" s="414"/>
      <c r="I165" s="414"/>
      <c r="J165" s="414"/>
      <c r="K165" s="414"/>
      <c r="L165" s="414"/>
    </row>
    <row r="166" spans="1:12">
      <c r="A166" s="291" t="s">
        <v>416</v>
      </c>
      <c r="B166" s="409"/>
      <c r="C166" s="423">
        <f>(L137)+(L136*BD6)</f>
        <v>70701.507339176504</v>
      </c>
      <c r="D166" s="423">
        <f t="shared" ref="D166:L166" si="67">(C166)+(C165*BE6)</f>
        <v>70701.507339176504</v>
      </c>
      <c r="E166" s="423">
        <f t="shared" si="67"/>
        <v>70701.507339176504</v>
      </c>
      <c r="F166" s="423">
        <f t="shared" si="67"/>
        <v>70701.507339176504</v>
      </c>
      <c r="G166" s="423">
        <f t="shared" si="67"/>
        <v>70701.507339176504</v>
      </c>
      <c r="H166" s="423">
        <f t="shared" si="67"/>
        <v>70701.507339176504</v>
      </c>
      <c r="I166" s="423">
        <f t="shared" si="67"/>
        <v>70701.507339176504</v>
      </c>
      <c r="J166" s="423">
        <f t="shared" si="67"/>
        <v>70701.507339176504</v>
      </c>
      <c r="K166" s="423">
        <f t="shared" si="67"/>
        <v>70701.507339176504</v>
      </c>
      <c r="L166" s="423">
        <f t="shared" si="67"/>
        <v>70701.507339176504</v>
      </c>
    </row>
    <row r="167" spans="1:12">
      <c r="A167" s="420" t="s">
        <v>418</v>
      </c>
      <c r="B167" s="421"/>
      <c r="C167" s="414"/>
      <c r="D167" s="414"/>
      <c r="E167" s="414"/>
      <c r="F167" s="414"/>
      <c r="G167" s="414"/>
      <c r="H167" s="414"/>
      <c r="I167" s="414"/>
      <c r="J167" s="414"/>
      <c r="K167" s="414"/>
      <c r="L167" s="414"/>
    </row>
    <row r="168" spans="1:12">
      <c r="A168" s="291" t="s">
        <v>416</v>
      </c>
      <c r="B168" s="409"/>
      <c r="C168" s="423">
        <f>(L139)+(L138*BD7)</f>
        <v>70284.450337360817</v>
      </c>
      <c r="D168" s="423">
        <f t="shared" ref="D168:L168" si="68">(C168)+(C167*BE7)</f>
        <v>70284.450337360817</v>
      </c>
      <c r="E168" s="423">
        <f t="shared" si="68"/>
        <v>70284.450337360817</v>
      </c>
      <c r="F168" s="423">
        <f t="shared" si="68"/>
        <v>70284.450337360817</v>
      </c>
      <c r="G168" s="423">
        <f t="shared" si="68"/>
        <v>70284.450337360817</v>
      </c>
      <c r="H168" s="423">
        <f t="shared" si="68"/>
        <v>70284.450337360817</v>
      </c>
      <c r="I168" s="423">
        <f t="shared" si="68"/>
        <v>70284.450337360817</v>
      </c>
      <c r="J168" s="423">
        <f t="shared" si="68"/>
        <v>70284.450337360817</v>
      </c>
      <c r="K168" s="423">
        <f t="shared" si="68"/>
        <v>70284.450337360817</v>
      </c>
      <c r="L168" s="423">
        <f t="shared" si="68"/>
        <v>70284.450337360817</v>
      </c>
    </row>
    <row r="169" spans="1:12">
      <c r="A169" s="420" t="s">
        <v>419</v>
      </c>
      <c r="B169" s="421"/>
      <c r="C169" s="414"/>
      <c r="D169" s="414"/>
      <c r="E169" s="414"/>
      <c r="F169" s="414"/>
      <c r="G169" s="414"/>
      <c r="H169" s="414"/>
      <c r="I169" s="414"/>
      <c r="J169" s="414"/>
      <c r="K169" s="414"/>
      <c r="L169" s="414"/>
    </row>
    <row r="170" spans="1:12">
      <c r="A170" s="291" t="s">
        <v>416</v>
      </c>
      <c r="B170" s="409"/>
      <c r="C170" s="423">
        <f>(L141)+(L140*BD8)</f>
        <v>60443.264835033006</v>
      </c>
      <c r="D170" s="423">
        <f t="shared" ref="D170:L170" si="69">(C170)+(C169*BE8)</f>
        <v>60443.264835033006</v>
      </c>
      <c r="E170" s="423">
        <f t="shared" si="69"/>
        <v>60443.264835033006</v>
      </c>
      <c r="F170" s="423">
        <f t="shared" si="69"/>
        <v>60443.264835033006</v>
      </c>
      <c r="G170" s="423">
        <f t="shared" si="69"/>
        <v>60443.264835033006</v>
      </c>
      <c r="H170" s="423">
        <f t="shared" si="69"/>
        <v>60443.264835033006</v>
      </c>
      <c r="I170" s="423">
        <f t="shared" si="69"/>
        <v>60443.264835033006</v>
      </c>
      <c r="J170" s="423">
        <f t="shared" si="69"/>
        <v>60443.264835033006</v>
      </c>
      <c r="K170" s="423">
        <f t="shared" si="69"/>
        <v>60443.264835033006</v>
      </c>
      <c r="L170" s="423">
        <f t="shared" si="69"/>
        <v>60443.264835033006</v>
      </c>
    </row>
    <row r="171" spans="1:12">
      <c r="A171" s="420" t="s">
        <v>420</v>
      </c>
      <c r="B171" s="421"/>
      <c r="C171" s="414"/>
      <c r="D171" s="414"/>
      <c r="E171" s="414"/>
      <c r="F171" s="414"/>
      <c r="G171" s="414"/>
      <c r="H171" s="414"/>
      <c r="I171" s="414"/>
      <c r="J171" s="414"/>
      <c r="K171" s="414"/>
      <c r="L171" s="414"/>
    </row>
    <row r="172" spans="1:12">
      <c r="A172" s="291" t="s">
        <v>416</v>
      </c>
      <c r="B172" s="409"/>
      <c r="C172" s="423">
        <f>(L143)+(L142*BD9)</f>
        <v>43835.588476030527</v>
      </c>
      <c r="D172" s="423">
        <f t="shared" ref="D172:L172" si="70">(C172)+(C171*BE9)</f>
        <v>43835.588476030527</v>
      </c>
      <c r="E172" s="423">
        <f t="shared" si="70"/>
        <v>43835.588476030527</v>
      </c>
      <c r="F172" s="423">
        <f t="shared" si="70"/>
        <v>43835.588476030527</v>
      </c>
      <c r="G172" s="423">
        <f t="shared" si="70"/>
        <v>43835.588476030527</v>
      </c>
      <c r="H172" s="423">
        <f t="shared" si="70"/>
        <v>43835.588476030527</v>
      </c>
      <c r="I172" s="423">
        <f t="shared" si="70"/>
        <v>43835.588476030527</v>
      </c>
      <c r="J172" s="423">
        <f t="shared" si="70"/>
        <v>43835.588476030527</v>
      </c>
      <c r="K172" s="423">
        <f t="shared" si="70"/>
        <v>43835.588476030527</v>
      </c>
      <c r="L172" s="423">
        <f t="shared" si="70"/>
        <v>43835.588476030527</v>
      </c>
    </row>
    <row r="173" spans="1:12">
      <c r="A173" s="420" t="s">
        <v>421</v>
      </c>
      <c r="B173" s="421"/>
      <c r="C173" s="414"/>
      <c r="D173" s="414"/>
      <c r="E173" s="414"/>
      <c r="F173" s="414"/>
      <c r="G173" s="414"/>
      <c r="H173" s="414"/>
      <c r="I173" s="414"/>
      <c r="J173" s="414"/>
      <c r="K173" s="414"/>
      <c r="L173" s="414"/>
    </row>
    <row r="174" spans="1:12">
      <c r="A174" s="291" t="s">
        <v>416</v>
      </c>
      <c r="B174" s="409"/>
      <c r="C174" s="423">
        <f>(L145)+(L144*BD10)</f>
        <v>37676.663941544764</v>
      </c>
      <c r="D174" s="423">
        <f t="shared" ref="D174:L174" si="71">(C174)+(C173*BE10)</f>
        <v>37676.663941544764</v>
      </c>
      <c r="E174" s="423">
        <f t="shared" si="71"/>
        <v>37676.663941544764</v>
      </c>
      <c r="F174" s="423">
        <f t="shared" si="71"/>
        <v>37676.663941544764</v>
      </c>
      <c r="G174" s="423">
        <f t="shared" si="71"/>
        <v>37676.663941544764</v>
      </c>
      <c r="H174" s="423">
        <f t="shared" si="71"/>
        <v>37676.663941544764</v>
      </c>
      <c r="I174" s="423">
        <f t="shared" si="71"/>
        <v>37676.663941544764</v>
      </c>
      <c r="J174" s="423">
        <f t="shared" si="71"/>
        <v>37676.663941544764</v>
      </c>
      <c r="K174" s="423">
        <f t="shared" si="71"/>
        <v>37676.663941544764</v>
      </c>
      <c r="L174" s="423">
        <f t="shared" si="71"/>
        <v>37676.663941544764</v>
      </c>
    </row>
    <row r="175" spans="1:12">
      <c r="B175" s="424"/>
      <c r="C175" s="404"/>
      <c r="D175" s="404"/>
      <c r="E175" s="404"/>
      <c r="F175" s="404"/>
      <c r="G175" s="404"/>
      <c r="H175" s="404"/>
      <c r="I175" s="404"/>
      <c r="J175" s="404"/>
      <c r="K175" s="404"/>
      <c r="L175" s="404"/>
    </row>
    <row r="176" spans="1:12">
      <c r="A176" s="425" t="s">
        <v>422</v>
      </c>
      <c r="B176" s="426"/>
      <c r="C176" s="423"/>
      <c r="D176" s="423"/>
      <c r="E176" s="423"/>
      <c r="F176" s="423"/>
      <c r="G176" s="423"/>
      <c r="H176" s="423"/>
      <c r="I176" s="423"/>
      <c r="J176" s="423"/>
      <c r="K176" s="423"/>
      <c r="L176" s="423"/>
    </row>
    <row r="177" spans="1:12">
      <c r="A177" s="408" t="s">
        <v>423</v>
      </c>
      <c r="B177" s="409"/>
      <c r="C177" s="423">
        <f>(L148)+(L147*BD11)</f>
        <v>94558.521345304966</v>
      </c>
      <c r="D177" s="423">
        <f t="shared" ref="D177:L177" si="72">(C177)+(C176*BE11)</f>
        <v>94558.521345304966</v>
      </c>
      <c r="E177" s="423">
        <f t="shared" si="72"/>
        <v>94558.521345304966</v>
      </c>
      <c r="F177" s="423">
        <f t="shared" si="72"/>
        <v>94558.521345304966</v>
      </c>
      <c r="G177" s="423">
        <f t="shared" si="72"/>
        <v>94558.521345304966</v>
      </c>
      <c r="H177" s="423">
        <f t="shared" si="72"/>
        <v>94558.521345304966</v>
      </c>
      <c r="I177" s="423">
        <f t="shared" si="72"/>
        <v>94558.521345304966</v>
      </c>
      <c r="J177" s="423">
        <f t="shared" si="72"/>
        <v>94558.521345304966</v>
      </c>
      <c r="K177" s="423">
        <f t="shared" si="72"/>
        <v>94558.521345304966</v>
      </c>
      <c r="L177" s="423">
        <f t="shared" si="72"/>
        <v>94558.521345304966</v>
      </c>
    </row>
    <row r="178" spans="1:12">
      <c r="A178" s="425" t="s">
        <v>424</v>
      </c>
      <c r="B178" s="426"/>
      <c r="C178" s="423"/>
      <c r="D178" s="423"/>
      <c r="E178" s="423"/>
      <c r="F178" s="423"/>
      <c r="G178" s="423"/>
      <c r="H178" s="423"/>
      <c r="I178" s="423"/>
      <c r="J178" s="423"/>
      <c r="K178" s="423"/>
      <c r="L178" s="423"/>
    </row>
    <row r="179" spans="1:12">
      <c r="A179" s="408" t="s">
        <v>423</v>
      </c>
      <c r="B179" s="409"/>
      <c r="C179" s="423">
        <f>(L150)+(L149*BD12)</f>
        <v>7660.49</v>
      </c>
      <c r="D179" s="423">
        <f t="shared" ref="D179:L179" si="73">(C179)+(C178*BE12)</f>
        <v>7660.49</v>
      </c>
      <c r="E179" s="423">
        <f t="shared" si="73"/>
        <v>7660.49</v>
      </c>
      <c r="F179" s="423">
        <f t="shared" si="73"/>
        <v>7660.49</v>
      </c>
      <c r="G179" s="423">
        <f t="shared" si="73"/>
        <v>7660.49</v>
      </c>
      <c r="H179" s="423">
        <f t="shared" si="73"/>
        <v>7660.49</v>
      </c>
      <c r="I179" s="423">
        <f t="shared" si="73"/>
        <v>7660.49</v>
      </c>
      <c r="J179" s="423">
        <f t="shared" si="73"/>
        <v>7660.49</v>
      </c>
      <c r="K179" s="423">
        <f t="shared" si="73"/>
        <v>7660.49</v>
      </c>
      <c r="L179" s="423">
        <f t="shared" si="73"/>
        <v>7660.49</v>
      </c>
    </row>
    <row r="180" spans="1:12">
      <c r="A180" s="425" t="s">
        <v>425</v>
      </c>
      <c r="B180" s="426"/>
      <c r="C180" s="414"/>
      <c r="D180" s="414"/>
      <c r="E180" s="414"/>
      <c r="F180" s="414"/>
      <c r="G180" s="414"/>
      <c r="H180" s="414"/>
      <c r="I180" s="414"/>
      <c r="J180" s="414"/>
      <c r="K180" s="414"/>
      <c r="L180" s="414"/>
    </row>
    <row r="181" spans="1:12">
      <c r="A181" s="408" t="s">
        <v>423</v>
      </c>
      <c r="B181" s="409"/>
      <c r="C181" s="423">
        <f>(L152)+(L151*BD13)</f>
        <v>445</v>
      </c>
      <c r="D181" s="423">
        <f t="shared" ref="D181:L181" si="74">(C181)+(C180*BE13)</f>
        <v>445</v>
      </c>
      <c r="E181" s="423">
        <f t="shared" si="74"/>
        <v>445</v>
      </c>
      <c r="F181" s="423">
        <f t="shared" si="74"/>
        <v>445</v>
      </c>
      <c r="G181" s="423">
        <f t="shared" si="74"/>
        <v>445</v>
      </c>
      <c r="H181" s="423">
        <f t="shared" si="74"/>
        <v>445</v>
      </c>
      <c r="I181" s="423">
        <f t="shared" si="74"/>
        <v>445</v>
      </c>
      <c r="J181" s="423">
        <f t="shared" si="74"/>
        <v>445</v>
      </c>
      <c r="K181" s="423">
        <f t="shared" si="74"/>
        <v>445</v>
      </c>
      <c r="L181" s="423">
        <f t="shared" si="74"/>
        <v>445</v>
      </c>
    </row>
    <row r="182" spans="1:12">
      <c r="B182" s="424"/>
    </row>
    <row r="183" spans="1:12">
      <c r="A183" s="414" t="s">
        <v>426</v>
      </c>
      <c r="B183" s="428"/>
      <c r="C183" s="414"/>
      <c r="D183" s="414"/>
      <c r="E183" s="414"/>
      <c r="F183" s="414"/>
      <c r="G183" s="414"/>
      <c r="H183" s="414"/>
      <c r="I183" s="414"/>
      <c r="J183" s="414"/>
      <c r="K183" s="414"/>
      <c r="L183" s="414"/>
    </row>
    <row r="184" spans="1:12">
      <c r="A184" s="414" t="s">
        <v>427</v>
      </c>
      <c r="B184" s="429"/>
      <c r="C184" s="423">
        <f t="shared" ref="C184:K184" si="75">SUM(C164,C166,C168,C170,C172,C174)</f>
        <v>391592.13676359394</v>
      </c>
      <c r="D184" s="423">
        <f t="shared" si="75"/>
        <v>391592.13676359394</v>
      </c>
      <c r="E184" s="423">
        <f t="shared" si="75"/>
        <v>391592.13676359394</v>
      </c>
      <c r="F184" s="423">
        <f t="shared" si="75"/>
        <v>391592.13676359394</v>
      </c>
      <c r="G184" s="423">
        <f t="shared" si="75"/>
        <v>391592.13676359394</v>
      </c>
      <c r="H184" s="423">
        <f t="shared" si="75"/>
        <v>391592.13676359394</v>
      </c>
      <c r="I184" s="423">
        <f t="shared" si="75"/>
        <v>391592.13676359394</v>
      </c>
      <c r="J184" s="423">
        <f t="shared" si="75"/>
        <v>391592.13676359394</v>
      </c>
      <c r="K184" s="423">
        <f t="shared" si="75"/>
        <v>391592.13676359394</v>
      </c>
      <c r="L184" s="423">
        <f>SUM(L164,L166,L168,L170,L172,L174)+671.99</f>
        <v>392264.12676359393</v>
      </c>
    </row>
    <row r="185" spans="1:12">
      <c r="A185" s="414" t="s">
        <v>428</v>
      </c>
      <c r="B185" s="428"/>
      <c r="C185" s="414"/>
      <c r="D185" s="414"/>
      <c r="E185" s="414"/>
      <c r="F185" s="414"/>
      <c r="G185" s="414"/>
      <c r="H185" s="414"/>
      <c r="I185" s="414"/>
      <c r="J185" s="414"/>
      <c r="K185" s="414"/>
      <c r="L185" s="414"/>
    </row>
    <row r="186" spans="1:12">
      <c r="A186" s="414" t="s">
        <v>429</v>
      </c>
      <c r="B186" s="429"/>
      <c r="C186" s="423">
        <f t="shared" ref="C186:K186" si="76">SUM(C177,C179,C181)</f>
        <v>102664.01134530497</v>
      </c>
      <c r="D186" s="423">
        <f t="shared" si="76"/>
        <v>102664.01134530497</v>
      </c>
      <c r="E186" s="423">
        <f t="shared" si="76"/>
        <v>102664.01134530497</v>
      </c>
      <c r="F186" s="423">
        <f t="shared" si="76"/>
        <v>102664.01134530497</v>
      </c>
      <c r="G186" s="423">
        <f t="shared" si="76"/>
        <v>102664.01134530497</v>
      </c>
      <c r="H186" s="423">
        <f t="shared" si="76"/>
        <v>102664.01134530497</v>
      </c>
      <c r="I186" s="423">
        <f t="shared" si="76"/>
        <v>102664.01134530497</v>
      </c>
      <c r="J186" s="423">
        <f t="shared" si="76"/>
        <v>102664.01134530497</v>
      </c>
      <c r="K186" s="423">
        <f t="shared" si="76"/>
        <v>102664.01134530497</v>
      </c>
      <c r="L186" s="423">
        <f>(SUM(L177,L179,L181))</f>
        <v>102664.01134530497</v>
      </c>
    </row>
    <row r="188" spans="1:12">
      <c r="A188" s="414" t="s">
        <v>430</v>
      </c>
      <c r="B188" s="423"/>
      <c r="C188" s="432">
        <f t="shared" ref="C188:L188" si="77">C184+C186</f>
        <v>494256.14810889889</v>
      </c>
      <c r="D188" s="432">
        <f t="shared" si="77"/>
        <v>494256.14810889889</v>
      </c>
      <c r="E188" s="432">
        <f t="shared" si="77"/>
        <v>494256.14810889889</v>
      </c>
      <c r="F188" s="432">
        <f t="shared" si="77"/>
        <v>494256.14810889889</v>
      </c>
      <c r="G188" s="432">
        <f t="shared" si="77"/>
        <v>494256.14810889889</v>
      </c>
      <c r="H188" s="432">
        <f t="shared" si="77"/>
        <v>494256.14810889889</v>
      </c>
      <c r="I188" s="432">
        <f t="shared" si="77"/>
        <v>494256.14810889889</v>
      </c>
      <c r="J188" s="432">
        <f t="shared" si="77"/>
        <v>494256.14810889889</v>
      </c>
      <c r="K188" s="432">
        <f t="shared" si="77"/>
        <v>494256.14810889889</v>
      </c>
      <c r="L188" s="432">
        <f t="shared" si="77"/>
        <v>494928.13810889889</v>
      </c>
    </row>
  </sheetData>
  <mergeCells count="5">
    <mergeCell ref="I3:U3"/>
    <mergeCell ref="D4:F4"/>
    <mergeCell ref="C18:D29"/>
    <mergeCell ref="C31:D36"/>
    <mergeCell ref="C38:D41"/>
  </mergeCells>
  <pageMargins left="0.23622047244094491" right="0.23622047244094491" top="1.62" bottom="0.74803149606299213" header="0.31496062992125984" footer="0.31496062992125984"/>
  <pageSetup paperSize="9" scale="83" orientation="landscape" r:id="rId1"/>
  <headerFooter>
    <oddHeader>&amp;C&amp;G</oddHeader>
  </headerFooter>
  <rowBreaks count="5" manualBreakCount="5">
    <brk id="44" max="11" man="1"/>
    <brk id="73" max="11" man="1"/>
    <brk id="102" max="11" man="1"/>
    <brk id="131" max="11" man="1"/>
    <brk id="160" max="11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A110"/>
  <sheetViews>
    <sheetView showGridLines="0" view="pageBreakPreview" topLeftCell="A70" zoomScale="60" zoomScaleNormal="70" workbookViewId="0">
      <selection activeCell="X105" sqref="X105"/>
    </sheetView>
  </sheetViews>
  <sheetFormatPr defaultColWidth="10.75" defaultRowHeight="12.75"/>
  <cols>
    <col min="1" max="1" width="15.75" style="3" customWidth="1"/>
    <col min="2" max="2" width="29.75" style="3" customWidth="1"/>
    <col min="3" max="3" width="10.25" style="3" customWidth="1"/>
    <col min="4" max="4" width="11.25" style="3" customWidth="1"/>
    <col min="5" max="5" width="9.25" style="3" customWidth="1"/>
    <col min="6" max="7" width="11.75" style="3" customWidth="1"/>
    <col min="8" max="8" width="15" style="3" customWidth="1"/>
    <col min="9" max="9" width="17" style="3" customWidth="1"/>
    <col min="10" max="10" width="1.5" style="3" customWidth="1"/>
    <col min="11" max="11" width="17" style="3" customWidth="1"/>
    <col min="12" max="12" width="16.25" style="3" hidden="1" customWidth="1"/>
    <col min="13" max="17" width="9.25" style="3" hidden="1" customWidth="1"/>
    <col min="18" max="18" width="6.25" style="3" hidden="1" customWidth="1"/>
    <col min="19" max="20" width="11.25" style="3" hidden="1" customWidth="1"/>
    <col min="21" max="21" width="1.25" style="3" customWidth="1"/>
    <col min="22" max="22" width="14.75" style="3" customWidth="1"/>
    <col min="23" max="24" width="16" style="3" customWidth="1"/>
    <col min="25" max="16384" width="10.75" style="3"/>
  </cols>
  <sheetData>
    <row r="2" spans="1:27">
      <c r="A2" s="114" t="s">
        <v>613</v>
      </c>
      <c r="B2" s="115"/>
      <c r="C2" s="115"/>
      <c r="D2" s="115"/>
      <c r="E2" s="115"/>
      <c r="F2" s="115"/>
      <c r="G2" s="115"/>
      <c r="H2" s="115"/>
      <c r="I2" s="116"/>
    </row>
    <row r="4" spans="1:27" ht="13.9" customHeight="1">
      <c r="A4" s="117" t="s">
        <v>162</v>
      </c>
      <c r="B4" s="118"/>
      <c r="C4" s="118"/>
      <c r="D4" s="118"/>
      <c r="E4" s="118"/>
      <c r="F4" s="118"/>
      <c r="G4" s="118"/>
      <c r="H4" s="118"/>
      <c r="I4" s="119"/>
      <c r="N4" s="52">
        <f>100/(100-32)</f>
        <v>1.4705882352941178</v>
      </c>
      <c r="O4" s="52">
        <v>1.0165</v>
      </c>
      <c r="P4" s="52">
        <v>1.0760000000000001</v>
      </c>
    </row>
    <row r="5" spans="1:27">
      <c r="A5" s="120" t="s">
        <v>163</v>
      </c>
      <c r="B5" s="121" t="s">
        <v>164</v>
      </c>
      <c r="C5" s="122"/>
      <c r="D5" s="123" t="s">
        <v>165</v>
      </c>
      <c r="E5" s="123"/>
      <c r="F5" s="124" t="s">
        <v>166</v>
      </c>
      <c r="G5" s="124" t="s">
        <v>167</v>
      </c>
      <c r="H5" s="124" t="s">
        <v>168</v>
      </c>
      <c r="I5" s="124" t="s">
        <v>169</v>
      </c>
      <c r="L5" s="125" t="s">
        <v>170</v>
      </c>
      <c r="M5" s="126" t="s">
        <v>171</v>
      </c>
      <c r="N5" s="127" t="s">
        <v>172</v>
      </c>
      <c r="O5" s="126" t="s">
        <v>173</v>
      </c>
      <c r="P5" s="128" t="s">
        <v>174</v>
      </c>
      <c r="Q5" s="129" t="s">
        <v>175</v>
      </c>
      <c r="S5" s="706" t="s">
        <v>176</v>
      </c>
      <c r="T5" s="707"/>
      <c r="U5" s="130"/>
    </row>
    <row r="6" spans="1:27">
      <c r="A6" s="131" t="s">
        <v>177</v>
      </c>
      <c r="B6" s="132"/>
      <c r="C6" s="131" t="s">
        <v>178</v>
      </c>
      <c r="D6" s="131" t="s">
        <v>179</v>
      </c>
      <c r="E6" s="131" t="s">
        <v>180</v>
      </c>
      <c r="F6" s="131" t="s">
        <v>177</v>
      </c>
      <c r="G6" s="131" t="s">
        <v>181</v>
      </c>
      <c r="H6" s="131" t="s">
        <v>177</v>
      </c>
      <c r="I6" s="131" t="s">
        <v>182</v>
      </c>
      <c r="L6" s="133" t="s">
        <v>183</v>
      </c>
      <c r="M6" s="134">
        <f>0.22704+0.14897</f>
        <v>0.37600999999999996</v>
      </c>
      <c r="N6" s="135">
        <f>($M6*$N$4)-$M6</f>
        <v>0.17694588235294118</v>
      </c>
      <c r="O6" s="136">
        <f>($M6*$O$4)-$M6</f>
        <v>6.2041649999999837E-3</v>
      </c>
      <c r="P6" s="137">
        <f>($M6*$P$4)-$M6</f>
        <v>2.8576760000000034E-2</v>
      </c>
      <c r="Q6" s="138">
        <f>SUM(M6:P6)</f>
        <v>0.5877368073529412</v>
      </c>
      <c r="S6" s="139" t="s">
        <v>184</v>
      </c>
      <c r="T6" s="140" t="s">
        <v>185</v>
      </c>
      <c r="U6" s="130"/>
      <c r="V6" s="141" t="s">
        <v>186</v>
      </c>
      <c r="W6" s="142" t="s">
        <v>187</v>
      </c>
      <c r="X6" s="143" t="s">
        <v>188</v>
      </c>
      <c r="Y6" s="141" t="s">
        <v>189</v>
      </c>
      <c r="Z6" s="142" t="s">
        <v>139</v>
      </c>
      <c r="AA6" s="143" t="s">
        <v>138</v>
      </c>
    </row>
    <row r="7" spans="1:27">
      <c r="A7" s="144">
        <v>160</v>
      </c>
      <c r="B7" s="145" t="s">
        <v>190</v>
      </c>
      <c r="C7" s="1">
        <v>0</v>
      </c>
      <c r="D7" s="1">
        <v>0</v>
      </c>
      <c r="E7" s="1">
        <v>1.5</v>
      </c>
      <c r="F7" s="144">
        <f t="shared" ref="F7:F33" si="0">SUM(A7,C7:E7)</f>
        <v>161.5</v>
      </c>
      <c r="G7" s="146">
        <v>73</v>
      </c>
      <c r="H7" s="147">
        <f t="shared" ref="H7:H33" si="1">G7*F7</f>
        <v>11789.5</v>
      </c>
      <c r="I7" s="147">
        <f t="shared" ref="I7:I33" si="2">H7*11.52*30/1000</f>
        <v>4074.4512</v>
      </c>
      <c r="L7" s="148" t="s">
        <v>191</v>
      </c>
      <c r="M7" s="149">
        <f>$M$6+S7</f>
        <v>0.39004530460458497</v>
      </c>
      <c r="N7" s="150">
        <f>($M7*$N$4)-$M7</f>
        <v>0.18355073157862822</v>
      </c>
      <c r="O7" s="151">
        <f>($M7*$O$4)-$M7</f>
        <v>6.4357475259756436E-3</v>
      </c>
      <c r="P7" s="152">
        <f>($M7*$P$4)-$M7</f>
        <v>2.964344314994849E-2</v>
      </c>
      <c r="Q7" s="149">
        <f>SUM(M7:P7)</f>
        <v>0.60967522685913733</v>
      </c>
      <c r="S7" s="153">
        <f>$M$6*T7</f>
        <v>1.4035304604585038E-2</v>
      </c>
      <c r="T7" s="154">
        <v>3.7326945040251698E-2</v>
      </c>
      <c r="U7" s="155"/>
      <c r="V7" s="156">
        <v>44197</v>
      </c>
      <c r="W7" s="157">
        <v>0.64220999999999995</v>
      </c>
      <c r="X7" s="157" t="s">
        <v>191</v>
      </c>
      <c r="Y7" s="158">
        <v>0.32</v>
      </c>
      <c r="Z7" s="159">
        <v>1.3100000000000001E-2</v>
      </c>
      <c r="AA7" s="160">
        <v>6.0499999999999998E-2</v>
      </c>
    </row>
    <row r="8" spans="1:27">
      <c r="A8" s="144">
        <v>250</v>
      </c>
      <c r="B8" s="145" t="s">
        <v>190</v>
      </c>
      <c r="C8" s="1">
        <v>0</v>
      </c>
      <c r="D8" s="1">
        <v>0</v>
      </c>
      <c r="E8" s="1">
        <v>1.5</v>
      </c>
      <c r="F8" s="144">
        <f t="shared" si="0"/>
        <v>251.5</v>
      </c>
      <c r="G8" s="146">
        <v>76</v>
      </c>
      <c r="H8" s="147">
        <f t="shared" si="1"/>
        <v>19114</v>
      </c>
      <c r="I8" s="147">
        <f t="shared" si="2"/>
        <v>6605.7984000000006</v>
      </c>
      <c r="L8" s="133" t="s">
        <v>192</v>
      </c>
      <c r="M8" s="161">
        <f>$M$6+S8</f>
        <v>0.41640881195278812</v>
      </c>
      <c r="N8" s="162">
        <f>($M8*$N$4)-$M8</f>
        <v>0.19595708797778266</v>
      </c>
      <c r="O8" s="163">
        <f>($M8*$O$4)-$M8</f>
        <v>6.8707453972209898E-3</v>
      </c>
      <c r="P8" s="164">
        <f>($M8*$P$4)-$M8</f>
        <v>3.1647069708411912E-2</v>
      </c>
      <c r="Q8" s="161">
        <f>SUM(M8:P8)</f>
        <v>0.65088371503620368</v>
      </c>
      <c r="S8" s="165">
        <f>$M$6*T8</f>
        <v>4.0398811952788174E-2</v>
      </c>
      <c r="T8" s="166">
        <v>0.107440791342752</v>
      </c>
      <c r="U8" s="155"/>
      <c r="V8" s="167">
        <v>44166</v>
      </c>
      <c r="W8" s="168">
        <v>0.70082999999999995</v>
      </c>
      <c r="X8" s="168" t="s">
        <v>193</v>
      </c>
      <c r="Y8" s="169">
        <v>0.32</v>
      </c>
      <c r="Z8" s="170">
        <v>9.7000000000000003E-3</v>
      </c>
      <c r="AA8" s="171">
        <v>4.47</v>
      </c>
    </row>
    <row r="9" spans="1:27" ht="13.5" thickBot="1">
      <c r="A9" s="172">
        <v>500</v>
      </c>
      <c r="B9" s="173" t="s">
        <v>190</v>
      </c>
      <c r="C9" s="174">
        <v>0</v>
      </c>
      <c r="D9" s="174">
        <v>0</v>
      </c>
      <c r="E9" s="174">
        <v>1.5</v>
      </c>
      <c r="F9" s="172">
        <f t="shared" si="0"/>
        <v>501.5</v>
      </c>
      <c r="G9" s="175">
        <v>6</v>
      </c>
      <c r="H9" s="176">
        <f t="shared" si="1"/>
        <v>3009</v>
      </c>
      <c r="I9" s="176">
        <f t="shared" si="2"/>
        <v>1039.9104</v>
      </c>
      <c r="L9" s="177" t="s">
        <v>194</v>
      </c>
      <c r="M9" s="178">
        <f>$M$6+S9</f>
        <v>0.43351882129463964</v>
      </c>
      <c r="N9" s="179">
        <f>($M9*$N$4)-$M9</f>
        <v>0.20400885707983046</v>
      </c>
      <c r="O9" s="180">
        <f>($M9*$O$4)-$M9</f>
        <v>7.1530605513615564E-3</v>
      </c>
      <c r="P9" s="181">
        <f>($M9*$P$4)-$M9</f>
        <v>3.2947430418392654E-2</v>
      </c>
      <c r="Q9" s="178">
        <f>SUM(M9:P9)</f>
        <v>0.67762816934422432</v>
      </c>
      <c r="S9" s="182">
        <f>$M$6*T9</f>
        <v>5.7508821294639668E-2</v>
      </c>
      <c r="T9" s="183">
        <v>0.152944925120714</v>
      </c>
      <c r="U9" s="155"/>
      <c r="V9" s="167">
        <v>44136</v>
      </c>
      <c r="W9" s="168">
        <v>0.61419000000000001</v>
      </c>
      <c r="X9" s="168" t="s">
        <v>183</v>
      </c>
      <c r="Y9" s="169">
        <v>0.32</v>
      </c>
      <c r="Z9" s="170">
        <v>1.21E-2</v>
      </c>
      <c r="AA9" s="184">
        <v>5.57E-2</v>
      </c>
    </row>
    <row r="10" spans="1:27" ht="13.5" thickTop="1">
      <c r="A10" s="185">
        <v>80</v>
      </c>
      <c r="B10" s="186" t="s">
        <v>195</v>
      </c>
      <c r="C10" s="2">
        <v>18</v>
      </c>
      <c r="D10" s="2">
        <v>0.6</v>
      </c>
      <c r="E10" s="2">
        <v>1.5</v>
      </c>
      <c r="F10" s="187">
        <f t="shared" si="0"/>
        <v>100.1</v>
      </c>
      <c r="G10" s="188">
        <v>1</v>
      </c>
      <c r="H10" s="189">
        <f t="shared" si="1"/>
        <v>100.1</v>
      </c>
      <c r="I10" s="189">
        <f t="shared" si="2"/>
        <v>34.594559999999994</v>
      </c>
      <c r="V10" s="167">
        <v>44105</v>
      </c>
      <c r="W10" s="168">
        <v>0.60568</v>
      </c>
      <c r="X10" s="168" t="s">
        <v>183</v>
      </c>
      <c r="Y10" s="169">
        <v>0.32</v>
      </c>
      <c r="Z10" s="170">
        <v>1.06E-2</v>
      </c>
      <c r="AA10" s="184">
        <v>4.8599999999999997E-2</v>
      </c>
    </row>
    <row r="11" spans="1:27">
      <c r="A11" s="185">
        <v>125</v>
      </c>
      <c r="B11" s="186" t="s">
        <v>195</v>
      </c>
      <c r="C11" s="1">
        <v>18</v>
      </c>
      <c r="D11" s="1">
        <v>2</v>
      </c>
      <c r="E11" s="1">
        <v>1.5</v>
      </c>
      <c r="F11" s="144">
        <f t="shared" si="0"/>
        <v>146.5</v>
      </c>
      <c r="G11" s="188">
        <v>10</v>
      </c>
      <c r="H11" s="189">
        <f t="shared" si="1"/>
        <v>1465</v>
      </c>
      <c r="I11" s="189">
        <f t="shared" si="2"/>
        <v>506.30399999999997</v>
      </c>
      <c r="V11" s="167">
        <v>44075</v>
      </c>
      <c r="W11" s="168">
        <v>0.59674000000000005</v>
      </c>
      <c r="X11" s="168" t="s">
        <v>183</v>
      </c>
      <c r="Y11" s="169">
        <v>0.32</v>
      </c>
      <c r="Z11" s="170">
        <v>8.8999999999999999E-3</v>
      </c>
      <c r="AA11" s="184">
        <v>4.1000000000000002E-2</v>
      </c>
    </row>
    <row r="12" spans="1:27" ht="13.5" thickBot="1">
      <c r="A12" s="172">
        <v>400</v>
      </c>
      <c r="B12" s="173" t="s">
        <v>195</v>
      </c>
      <c r="C12" s="174">
        <v>42</v>
      </c>
      <c r="D12" s="174">
        <v>3</v>
      </c>
      <c r="E12" s="174">
        <v>1.5</v>
      </c>
      <c r="F12" s="172">
        <f t="shared" si="0"/>
        <v>446.5</v>
      </c>
      <c r="G12" s="175">
        <v>1</v>
      </c>
      <c r="H12" s="176">
        <f t="shared" si="1"/>
        <v>446.5</v>
      </c>
      <c r="I12" s="176">
        <f t="shared" si="2"/>
        <v>154.31039999999999</v>
      </c>
      <c r="V12" s="167">
        <v>44044</v>
      </c>
      <c r="W12" s="168">
        <v>0.60636000000000001</v>
      </c>
      <c r="X12" s="168" t="s">
        <v>183</v>
      </c>
      <c r="Y12" s="169">
        <v>0.32</v>
      </c>
      <c r="Z12" s="170">
        <v>1.0699999999999999E-2</v>
      </c>
      <c r="AA12" s="184">
        <v>4.9200000000000001E-2</v>
      </c>
    </row>
    <row r="13" spans="1:27" ht="13.5" thickTop="1">
      <c r="A13" s="190">
        <v>70</v>
      </c>
      <c r="B13" s="191" t="s">
        <v>196</v>
      </c>
      <c r="C13" s="192">
        <v>14</v>
      </c>
      <c r="D13" s="192">
        <v>0.6</v>
      </c>
      <c r="E13" s="192">
        <v>1.5</v>
      </c>
      <c r="F13" s="190">
        <f t="shared" si="0"/>
        <v>86.1</v>
      </c>
      <c r="G13" s="193">
        <v>3</v>
      </c>
      <c r="H13" s="194">
        <f t="shared" si="1"/>
        <v>258.29999999999995</v>
      </c>
      <c r="I13" s="194">
        <f t="shared" si="2"/>
        <v>89.268479999999983</v>
      </c>
      <c r="V13" s="167">
        <v>44013</v>
      </c>
      <c r="W13" s="168">
        <v>0.60345000000000004</v>
      </c>
      <c r="X13" s="168" t="s">
        <v>183</v>
      </c>
      <c r="Y13" s="169">
        <v>0.32</v>
      </c>
      <c r="Z13" s="170">
        <v>1.0200000000000001E-2</v>
      </c>
      <c r="AA13" s="184">
        <v>4.6699999999999998E-2</v>
      </c>
    </row>
    <row r="14" spans="1:27">
      <c r="A14" s="190">
        <v>100</v>
      </c>
      <c r="B14" s="191" t="s">
        <v>196</v>
      </c>
      <c r="C14" s="192">
        <v>18</v>
      </c>
      <c r="D14" s="192">
        <v>2</v>
      </c>
      <c r="E14" s="192">
        <v>1.5</v>
      </c>
      <c r="F14" s="190">
        <f t="shared" si="0"/>
        <v>121.5</v>
      </c>
      <c r="G14" s="193">
        <v>3</v>
      </c>
      <c r="H14" s="194">
        <f t="shared" si="1"/>
        <v>364.5</v>
      </c>
      <c r="I14" s="194">
        <f t="shared" si="2"/>
        <v>125.9712</v>
      </c>
      <c r="V14" s="167">
        <v>43983</v>
      </c>
      <c r="W14" s="168">
        <v>0.60862000000000005</v>
      </c>
      <c r="X14" s="168" t="s">
        <v>183</v>
      </c>
      <c r="Y14" s="169">
        <v>0.32</v>
      </c>
      <c r="Z14" s="170">
        <v>1.11E-2</v>
      </c>
      <c r="AA14" s="184">
        <v>5.11E-2</v>
      </c>
    </row>
    <row r="15" spans="1:27">
      <c r="A15" s="144">
        <v>150</v>
      </c>
      <c r="B15" s="195" t="s">
        <v>196</v>
      </c>
      <c r="C15" s="1">
        <v>23</v>
      </c>
      <c r="D15" s="1">
        <v>2</v>
      </c>
      <c r="E15" s="1">
        <v>1.5</v>
      </c>
      <c r="F15" s="190">
        <f t="shared" si="0"/>
        <v>176.5</v>
      </c>
      <c r="G15" s="146">
        <v>119</v>
      </c>
      <c r="H15" s="147">
        <f t="shared" si="1"/>
        <v>21003.5</v>
      </c>
      <c r="I15" s="147">
        <f t="shared" si="2"/>
        <v>7258.8095999999996</v>
      </c>
      <c r="V15" s="167">
        <v>43952</v>
      </c>
      <c r="W15" s="168">
        <v>0.60655999999999999</v>
      </c>
      <c r="X15" s="168" t="s">
        <v>183</v>
      </c>
      <c r="Y15" s="169">
        <v>0.32</v>
      </c>
      <c r="Z15" s="170">
        <v>1.0699999999999999E-2</v>
      </c>
      <c r="AA15" s="184">
        <v>4.9399999999999999E-2</v>
      </c>
    </row>
    <row r="16" spans="1:27">
      <c r="A16" s="144">
        <v>250</v>
      </c>
      <c r="B16" s="195" t="s">
        <v>196</v>
      </c>
      <c r="C16" s="1">
        <v>37</v>
      </c>
      <c r="D16" s="1">
        <v>3</v>
      </c>
      <c r="E16" s="1">
        <v>1.5</v>
      </c>
      <c r="F16" s="190">
        <f t="shared" si="0"/>
        <v>291.5</v>
      </c>
      <c r="G16" s="146">
        <v>332</v>
      </c>
      <c r="H16" s="147">
        <f t="shared" si="1"/>
        <v>96778</v>
      </c>
      <c r="I16" s="147">
        <f t="shared" si="2"/>
        <v>33446.476800000004</v>
      </c>
      <c r="V16" s="196">
        <v>43922</v>
      </c>
      <c r="W16" s="197">
        <v>0.60155000000000003</v>
      </c>
      <c r="X16" s="197" t="s">
        <v>183</v>
      </c>
      <c r="Y16" s="198">
        <v>0.32</v>
      </c>
      <c r="Z16" s="199">
        <v>1.0200000000000001E-2</v>
      </c>
      <c r="AA16" s="200">
        <v>4.7100000000000003E-2</v>
      </c>
    </row>
    <row r="17" spans="1:27">
      <c r="A17" s="144">
        <v>400</v>
      </c>
      <c r="B17" s="195" t="s">
        <v>196</v>
      </c>
      <c r="C17" s="1">
        <v>40</v>
      </c>
      <c r="D17" s="1">
        <v>3</v>
      </c>
      <c r="E17" s="1">
        <v>1.5</v>
      </c>
      <c r="F17" s="144">
        <f t="shared" si="0"/>
        <v>444.5</v>
      </c>
      <c r="G17" s="146">
        <v>439</v>
      </c>
      <c r="H17" s="147">
        <f t="shared" si="1"/>
        <v>195135.5</v>
      </c>
      <c r="I17" s="147">
        <f t="shared" si="2"/>
        <v>67438.828800000003</v>
      </c>
      <c r="V17" s="167">
        <v>43891</v>
      </c>
      <c r="W17" s="168">
        <v>0.59555000000000002</v>
      </c>
      <c r="X17" s="168" t="s">
        <v>183</v>
      </c>
      <c r="Y17" s="169">
        <v>0.32</v>
      </c>
      <c r="Z17" s="170">
        <v>1.1299999999999999E-2</v>
      </c>
      <c r="AA17" s="184">
        <v>5.16E-2</v>
      </c>
    </row>
    <row r="18" spans="1:27" ht="13.5" thickBot="1">
      <c r="A18" s="172">
        <v>1000</v>
      </c>
      <c r="B18" s="201" t="s">
        <v>196</v>
      </c>
      <c r="C18" s="174">
        <v>58</v>
      </c>
      <c r="D18" s="174">
        <v>3</v>
      </c>
      <c r="E18" s="174">
        <v>1.5</v>
      </c>
      <c r="F18" s="202">
        <f t="shared" si="0"/>
        <v>1062.5</v>
      </c>
      <c r="G18" s="175">
        <v>20</v>
      </c>
      <c r="H18" s="176">
        <f t="shared" si="1"/>
        <v>21250</v>
      </c>
      <c r="I18" s="176">
        <f t="shared" si="2"/>
        <v>7344</v>
      </c>
      <c r="V18" s="167">
        <v>43862</v>
      </c>
      <c r="W18" s="168">
        <v>0.58748999999999996</v>
      </c>
      <c r="X18" s="168" t="s">
        <v>183</v>
      </c>
      <c r="Y18" s="169">
        <v>0.32</v>
      </c>
      <c r="Z18" s="170">
        <v>1.04E-2</v>
      </c>
      <c r="AA18" s="184">
        <v>4.8099999999999997E-2</v>
      </c>
    </row>
    <row r="19" spans="1:27" ht="13.5" thickTop="1">
      <c r="A19" s="190">
        <v>70</v>
      </c>
      <c r="B19" s="191" t="s">
        <v>197</v>
      </c>
      <c r="C19" s="192">
        <v>14</v>
      </c>
      <c r="D19" s="192">
        <v>0.6</v>
      </c>
      <c r="E19" s="192">
        <v>1.5</v>
      </c>
      <c r="F19" s="190">
        <f t="shared" si="0"/>
        <v>86.1</v>
      </c>
      <c r="G19" s="193">
        <v>10</v>
      </c>
      <c r="H19" s="194">
        <f t="shared" si="1"/>
        <v>861</v>
      </c>
      <c r="I19" s="194">
        <f t="shared" si="2"/>
        <v>297.5616</v>
      </c>
      <c r="V19" s="203">
        <v>43831</v>
      </c>
      <c r="W19" s="191">
        <v>0.59291000000000005</v>
      </c>
      <c r="X19" s="191" t="s">
        <v>191</v>
      </c>
      <c r="Y19" s="204">
        <v>0.32</v>
      </c>
      <c r="Z19" s="205">
        <v>1.0200000000000001E-2</v>
      </c>
      <c r="AA19" s="206">
        <v>4.7300000000000002E-2</v>
      </c>
    </row>
    <row r="20" spans="1:27">
      <c r="A20" s="190">
        <v>100</v>
      </c>
      <c r="B20" s="191" t="s">
        <v>197</v>
      </c>
      <c r="C20" s="192">
        <v>18</v>
      </c>
      <c r="D20" s="192">
        <v>2</v>
      </c>
      <c r="E20" s="192">
        <v>1.5</v>
      </c>
      <c r="F20" s="190">
        <f t="shared" si="0"/>
        <v>121.5</v>
      </c>
      <c r="G20" s="193">
        <v>186</v>
      </c>
      <c r="H20" s="194">
        <f t="shared" si="1"/>
        <v>22599</v>
      </c>
      <c r="I20" s="194">
        <f t="shared" si="2"/>
        <v>7810.2143999999998</v>
      </c>
    </row>
    <row r="21" spans="1:27">
      <c r="A21" s="144">
        <v>150</v>
      </c>
      <c r="B21" s="195" t="s">
        <v>197</v>
      </c>
      <c r="C21" s="1">
        <v>23</v>
      </c>
      <c r="D21" s="1">
        <v>2</v>
      </c>
      <c r="E21" s="1">
        <v>1.5</v>
      </c>
      <c r="F21" s="190">
        <f t="shared" si="0"/>
        <v>176.5</v>
      </c>
      <c r="G21" s="193">
        <v>4909</v>
      </c>
      <c r="H21" s="147">
        <f t="shared" si="1"/>
        <v>866438.5</v>
      </c>
      <c r="I21" s="147">
        <f t="shared" si="2"/>
        <v>299441.14559999999</v>
      </c>
      <c r="V21" s="207" t="s">
        <v>198</v>
      </c>
    </row>
    <row r="22" spans="1:27">
      <c r="A22" s="144">
        <v>250</v>
      </c>
      <c r="B22" s="195" t="s">
        <v>197</v>
      </c>
      <c r="C22" s="1">
        <v>37</v>
      </c>
      <c r="D22" s="1">
        <v>3</v>
      </c>
      <c r="E22" s="1">
        <v>1.5</v>
      </c>
      <c r="F22" s="190">
        <f t="shared" si="0"/>
        <v>291.5</v>
      </c>
      <c r="G22" s="146">
        <v>469</v>
      </c>
      <c r="H22" s="147">
        <f t="shared" si="1"/>
        <v>136713.5</v>
      </c>
      <c r="I22" s="147">
        <f t="shared" si="2"/>
        <v>47248.185600000004</v>
      </c>
      <c r="V22" s="3" t="s">
        <v>199</v>
      </c>
      <c r="W22" s="3">
        <f>0.612472</f>
        <v>0.61247200000000002</v>
      </c>
    </row>
    <row r="23" spans="1:27" ht="13.5" thickBot="1">
      <c r="A23" s="172">
        <v>400</v>
      </c>
      <c r="B23" s="201" t="s">
        <v>197</v>
      </c>
      <c r="C23" s="174">
        <v>40</v>
      </c>
      <c r="D23" s="174">
        <v>3</v>
      </c>
      <c r="E23" s="174">
        <v>1.5</v>
      </c>
      <c r="F23" s="172">
        <f t="shared" si="0"/>
        <v>444.5</v>
      </c>
      <c r="G23" s="175">
        <v>615</v>
      </c>
      <c r="H23" s="176">
        <f t="shared" si="1"/>
        <v>273367.5</v>
      </c>
      <c r="I23" s="176">
        <f t="shared" si="2"/>
        <v>94475.808000000005</v>
      </c>
    </row>
    <row r="24" spans="1:27" ht="13.5" thickTop="1">
      <c r="A24" s="185">
        <v>20</v>
      </c>
      <c r="B24" s="186" t="s">
        <v>200</v>
      </c>
      <c r="C24" s="2">
        <v>0</v>
      </c>
      <c r="D24" s="2">
        <v>0</v>
      </c>
      <c r="E24" s="2">
        <v>1.5</v>
      </c>
      <c r="F24" s="208">
        <f t="shared" si="0"/>
        <v>21.5</v>
      </c>
      <c r="G24" s="188">
        <v>21</v>
      </c>
      <c r="H24" s="189">
        <f t="shared" si="1"/>
        <v>451.5</v>
      </c>
      <c r="I24" s="189">
        <f t="shared" si="2"/>
        <v>156.0384</v>
      </c>
      <c r="K24" s="666"/>
      <c r="L24" s="666"/>
      <c r="M24" s="666"/>
      <c r="N24" s="666"/>
      <c r="O24" s="666"/>
      <c r="P24" s="666"/>
      <c r="Q24" s="666"/>
      <c r="R24" s="666"/>
      <c r="S24" s="666"/>
      <c r="T24" s="666"/>
      <c r="U24" s="666"/>
      <c r="V24" s="666"/>
      <c r="W24" s="666"/>
    </row>
    <row r="25" spans="1:27">
      <c r="A25" s="185">
        <v>40</v>
      </c>
      <c r="B25" s="186" t="s">
        <v>200</v>
      </c>
      <c r="C25" s="2">
        <v>0</v>
      </c>
      <c r="D25" s="2">
        <v>0</v>
      </c>
      <c r="E25" s="2">
        <v>1.5</v>
      </c>
      <c r="F25" s="144">
        <f t="shared" si="0"/>
        <v>41.5</v>
      </c>
      <c r="G25" s="188">
        <v>92</v>
      </c>
      <c r="H25" s="189">
        <f t="shared" si="1"/>
        <v>3818</v>
      </c>
      <c r="I25" s="189">
        <f t="shared" si="2"/>
        <v>1319.5008</v>
      </c>
      <c r="K25" s="666"/>
      <c r="L25" s="666"/>
      <c r="M25" s="666"/>
      <c r="N25" s="666"/>
      <c r="O25" s="666"/>
      <c r="P25" s="666"/>
      <c r="Q25" s="666"/>
      <c r="R25" s="666"/>
      <c r="S25" s="666"/>
      <c r="T25" s="666"/>
      <c r="U25" s="666"/>
      <c r="V25" s="667"/>
      <c r="W25" s="667"/>
    </row>
    <row r="26" spans="1:27" ht="13.5" thickBot="1">
      <c r="A26" s="172">
        <v>60</v>
      </c>
      <c r="B26" s="173" t="s">
        <v>200</v>
      </c>
      <c r="C26" s="174">
        <v>0</v>
      </c>
      <c r="D26" s="174">
        <v>0</v>
      </c>
      <c r="E26" s="174">
        <v>1.5</v>
      </c>
      <c r="F26" s="172">
        <f t="shared" si="0"/>
        <v>61.5</v>
      </c>
      <c r="G26" s="175">
        <v>29</v>
      </c>
      <c r="H26" s="176">
        <f t="shared" si="1"/>
        <v>1783.5</v>
      </c>
      <c r="I26" s="176">
        <f t="shared" si="2"/>
        <v>616.37760000000003</v>
      </c>
      <c r="K26" s="666"/>
      <c r="L26" s="666"/>
      <c r="M26" s="666"/>
      <c r="N26" s="666"/>
      <c r="O26" s="666"/>
      <c r="P26" s="666"/>
      <c r="Q26" s="666"/>
      <c r="R26" s="666"/>
      <c r="S26" s="666"/>
      <c r="T26" s="666"/>
      <c r="U26" s="666"/>
      <c r="V26" s="668"/>
      <c r="W26" s="664"/>
    </row>
    <row r="27" spans="1:27" ht="13.5" thickTop="1">
      <c r="A27" s="187">
        <v>20</v>
      </c>
      <c r="B27" s="209" t="s">
        <v>201</v>
      </c>
      <c r="C27" s="210">
        <v>0</v>
      </c>
      <c r="D27" s="210">
        <v>0</v>
      </c>
      <c r="E27" s="210">
        <v>1.5</v>
      </c>
      <c r="F27" s="187">
        <f t="shared" si="0"/>
        <v>21.5</v>
      </c>
      <c r="G27" s="211">
        <v>69</v>
      </c>
      <c r="H27" s="212">
        <f t="shared" si="1"/>
        <v>1483.5</v>
      </c>
      <c r="I27" s="212">
        <f t="shared" si="2"/>
        <v>512.69759999999997</v>
      </c>
      <c r="K27" s="666"/>
      <c r="L27" s="666"/>
      <c r="M27" s="666"/>
      <c r="N27" s="666"/>
      <c r="O27" s="666"/>
      <c r="P27" s="666"/>
      <c r="Q27" s="666"/>
      <c r="R27" s="666"/>
      <c r="S27" s="666"/>
      <c r="T27" s="666"/>
      <c r="U27" s="666"/>
      <c r="V27" s="668"/>
      <c r="W27" s="669"/>
    </row>
    <row r="28" spans="1:27">
      <c r="A28" s="144">
        <v>30</v>
      </c>
      <c r="B28" s="145" t="s">
        <v>201</v>
      </c>
      <c r="C28" s="1">
        <v>0</v>
      </c>
      <c r="D28" s="1">
        <v>0</v>
      </c>
      <c r="E28" s="1">
        <v>1.5</v>
      </c>
      <c r="F28" s="144">
        <f t="shared" si="0"/>
        <v>31.5</v>
      </c>
      <c r="G28" s="146">
        <v>6</v>
      </c>
      <c r="H28" s="147">
        <f t="shared" si="1"/>
        <v>189</v>
      </c>
      <c r="I28" s="147">
        <f t="shared" si="2"/>
        <v>65.318399999999997</v>
      </c>
      <c r="K28" s="666"/>
      <c r="L28" s="666"/>
      <c r="M28" s="666"/>
      <c r="N28" s="666"/>
      <c r="O28" s="666"/>
      <c r="P28" s="666"/>
      <c r="Q28" s="666"/>
      <c r="R28" s="666"/>
      <c r="S28" s="666"/>
      <c r="T28" s="666"/>
      <c r="U28" s="666"/>
      <c r="V28" s="668"/>
      <c r="W28" s="669"/>
    </row>
    <row r="29" spans="1:27">
      <c r="A29" s="144">
        <v>40</v>
      </c>
      <c r="B29" s="145" t="s">
        <v>201</v>
      </c>
      <c r="C29" s="1">
        <v>0</v>
      </c>
      <c r="D29" s="1">
        <v>0</v>
      </c>
      <c r="E29" s="1">
        <v>1.5</v>
      </c>
      <c r="F29" s="144">
        <f t="shared" si="0"/>
        <v>41.5</v>
      </c>
      <c r="G29" s="146">
        <v>2</v>
      </c>
      <c r="H29" s="147">
        <f t="shared" si="1"/>
        <v>83</v>
      </c>
      <c r="I29" s="147">
        <f t="shared" si="2"/>
        <v>28.684799999999999</v>
      </c>
      <c r="K29" s="666"/>
      <c r="L29" s="666"/>
      <c r="M29" s="666"/>
      <c r="N29" s="666"/>
      <c r="O29" s="666"/>
      <c r="P29" s="666"/>
      <c r="Q29" s="666"/>
      <c r="R29" s="666"/>
      <c r="S29" s="666"/>
      <c r="T29" s="666"/>
      <c r="U29" s="666"/>
      <c r="V29" s="668"/>
      <c r="W29" s="669"/>
    </row>
    <row r="30" spans="1:27">
      <c r="A30" s="144">
        <v>60</v>
      </c>
      <c r="B30" s="145" t="s">
        <v>201</v>
      </c>
      <c r="C30" s="1">
        <v>0</v>
      </c>
      <c r="D30" s="1">
        <v>0</v>
      </c>
      <c r="E30" s="1">
        <v>1.5</v>
      </c>
      <c r="F30" s="144">
        <f t="shared" si="0"/>
        <v>61.5</v>
      </c>
      <c r="G30" s="146">
        <v>10</v>
      </c>
      <c r="H30" s="147">
        <f t="shared" si="1"/>
        <v>615</v>
      </c>
      <c r="I30" s="147">
        <f t="shared" si="2"/>
        <v>212.54400000000001</v>
      </c>
      <c r="K30" s="666"/>
      <c r="L30" s="666"/>
      <c r="M30" s="666"/>
      <c r="N30" s="666"/>
      <c r="O30" s="666"/>
      <c r="P30" s="666"/>
      <c r="Q30" s="666"/>
      <c r="R30" s="666"/>
      <c r="S30" s="666"/>
      <c r="T30" s="666"/>
      <c r="U30" s="666"/>
      <c r="V30" s="666"/>
      <c r="W30" s="670"/>
    </row>
    <row r="31" spans="1:27">
      <c r="A31" s="144">
        <v>100</v>
      </c>
      <c r="B31" s="145" t="s">
        <v>201</v>
      </c>
      <c r="C31" s="1">
        <v>0</v>
      </c>
      <c r="D31" s="1">
        <v>0</v>
      </c>
      <c r="E31" s="1">
        <v>1.5</v>
      </c>
      <c r="F31" s="144">
        <f t="shared" si="0"/>
        <v>101.5</v>
      </c>
      <c r="G31" s="146">
        <v>17</v>
      </c>
      <c r="H31" s="147">
        <f t="shared" si="1"/>
        <v>1725.5</v>
      </c>
      <c r="I31" s="147">
        <f t="shared" si="2"/>
        <v>596.33279999999991</v>
      </c>
      <c r="K31" s="666"/>
      <c r="L31" s="666"/>
      <c r="M31" s="666"/>
      <c r="N31" s="666"/>
      <c r="O31" s="666"/>
      <c r="P31" s="666"/>
      <c r="Q31" s="666"/>
      <c r="R31" s="666"/>
      <c r="S31" s="666"/>
      <c r="T31" s="666"/>
      <c r="U31" s="666"/>
      <c r="V31" s="666"/>
      <c r="W31" s="666"/>
    </row>
    <row r="32" spans="1:27">
      <c r="A32" s="144">
        <v>200</v>
      </c>
      <c r="B32" s="145" t="s">
        <v>201</v>
      </c>
      <c r="C32" s="1">
        <v>0</v>
      </c>
      <c r="D32" s="1">
        <v>0</v>
      </c>
      <c r="E32" s="1">
        <v>1.5</v>
      </c>
      <c r="F32" s="144">
        <f t="shared" si="0"/>
        <v>201.5</v>
      </c>
      <c r="G32" s="146">
        <v>6</v>
      </c>
      <c r="H32" s="147">
        <f t="shared" si="1"/>
        <v>1209</v>
      </c>
      <c r="I32" s="147">
        <f t="shared" si="2"/>
        <v>417.8304</v>
      </c>
      <c r="K32" s="666"/>
      <c r="L32" s="666"/>
      <c r="M32" s="666"/>
      <c r="N32" s="666"/>
      <c r="O32" s="666"/>
      <c r="P32" s="666"/>
      <c r="Q32" s="666"/>
      <c r="R32" s="666"/>
      <c r="S32" s="666"/>
      <c r="T32" s="666"/>
      <c r="U32" s="666"/>
      <c r="V32" s="666"/>
      <c r="W32" s="666"/>
    </row>
    <row r="33" spans="1:23">
      <c r="A33" s="144">
        <v>275</v>
      </c>
      <c r="B33" s="145" t="s">
        <v>201</v>
      </c>
      <c r="C33" s="1">
        <v>0</v>
      </c>
      <c r="D33" s="1">
        <v>0</v>
      </c>
      <c r="E33" s="1">
        <v>1.5</v>
      </c>
      <c r="F33" s="144">
        <f t="shared" si="0"/>
        <v>276.5</v>
      </c>
      <c r="G33" s="146">
        <v>14</v>
      </c>
      <c r="H33" s="147">
        <f t="shared" si="1"/>
        <v>3871</v>
      </c>
      <c r="I33" s="147">
        <f t="shared" si="2"/>
        <v>1337.8175999999999</v>
      </c>
      <c r="K33" s="666"/>
      <c r="L33" s="666"/>
      <c r="M33" s="666"/>
      <c r="N33" s="666"/>
      <c r="O33" s="666"/>
      <c r="P33" s="666"/>
      <c r="Q33" s="666"/>
      <c r="R33" s="666"/>
      <c r="S33" s="666"/>
      <c r="T33" s="666"/>
      <c r="U33" s="666"/>
      <c r="V33" s="666"/>
      <c r="W33" s="666"/>
    </row>
    <row r="34" spans="1:23">
      <c r="A34" s="214" t="s">
        <v>202</v>
      </c>
      <c r="B34" s="215"/>
      <c r="C34" s="215"/>
      <c r="D34" s="215"/>
      <c r="E34" s="215"/>
      <c r="F34" s="215"/>
      <c r="G34" s="216">
        <f>SUM(G7:G33)</f>
        <v>7538</v>
      </c>
      <c r="H34" s="216">
        <f>SUM(H7:H33)</f>
        <v>1685922.4</v>
      </c>
      <c r="I34" s="216">
        <f>SUM(I7:I33)</f>
        <v>582654.78143999993</v>
      </c>
      <c r="K34" s="666"/>
      <c r="L34" s="666"/>
      <c r="M34" s="666"/>
      <c r="N34" s="666"/>
      <c r="O34" s="666"/>
      <c r="P34" s="666"/>
      <c r="Q34" s="666"/>
      <c r="R34" s="666"/>
      <c r="S34" s="666"/>
      <c r="T34" s="666"/>
      <c r="U34" s="666"/>
      <c r="V34" s="666"/>
      <c r="W34" s="666"/>
    </row>
    <row r="35" spans="1:23" ht="15.75">
      <c r="A35" s="217"/>
      <c r="B35" s="218"/>
      <c r="C35" s="218"/>
      <c r="D35" s="218"/>
      <c r="E35" s="218"/>
      <c r="F35" s="218"/>
      <c r="G35" s="219" t="s">
        <v>203</v>
      </c>
      <c r="H35" s="220">
        <f>$W$22</f>
        <v>0.61247200000000002</v>
      </c>
      <c r="I35" s="221"/>
      <c r="K35" s="338"/>
      <c r="L35" s="339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666"/>
    </row>
    <row r="36" spans="1:23" ht="15.75">
      <c r="A36" s="222"/>
      <c r="B36" s="223"/>
      <c r="C36" s="223"/>
      <c r="D36" s="223"/>
      <c r="E36" s="223"/>
      <c r="F36" s="223"/>
      <c r="G36" s="223"/>
      <c r="H36" s="224" t="s">
        <v>204</v>
      </c>
      <c r="I36" s="225">
        <f>H35*I34</f>
        <v>356859.73929811968</v>
      </c>
      <c r="K36" s="665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05"/>
    </row>
    <row r="37" spans="1:23">
      <c r="A37" s="8"/>
    </row>
    <row r="38" spans="1:23">
      <c r="A38" s="114" t="s">
        <v>614</v>
      </c>
      <c r="B38" s="115"/>
      <c r="C38" s="115"/>
      <c r="D38" s="115"/>
      <c r="E38" s="115"/>
      <c r="F38" s="115"/>
      <c r="G38" s="226" t="s">
        <v>167</v>
      </c>
      <c r="H38" s="226" t="s">
        <v>168</v>
      </c>
      <c r="I38" s="226" t="s">
        <v>205</v>
      </c>
    </row>
    <row r="39" spans="1:23">
      <c r="A39" s="227" t="s">
        <v>206</v>
      </c>
      <c r="B39" s="10"/>
      <c r="C39" s="10"/>
      <c r="D39" s="10"/>
      <c r="E39" s="10"/>
      <c r="F39" s="11"/>
      <c r="G39" s="228">
        <f>G34</f>
        <v>7538</v>
      </c>
      <c r="H39" s="228">
        <f>H34</f>
        <v>1685922.4</v>
      </c>
      <c r="I39" s="228">
        <f>I34</f>
        <v>582654.78143999993</v>
      </c>
    </row>
    <row r="40" spans="1:23">
      <c r="A40" s="229" t="s">
        <v>207</v>
      </c>
      <c r="B40" s="230"/>
      <c r="C40" s="230"/>
      <c r="D40" s="230"/>
      <c r="E40" s="230"/>
      <c r="F40" s="230"/>
      <c r="G40" s="231">
        <f>SUM(G39:G39)</f>
        <v>7538</v>
      </c>
      <c r="H40" s="231">
        <f>SUM(H39:H39)</f>
        <v>1685922.4</v>
      </c>
      <c r="I40" s="231">
        <f>SUM(I39:I39)</f>
        <v>582654.78143999993</v>
      </c>
    </row>
    <row r="41" spans="1:23" ht="15.75">
      <c r="A41" s="232"/>
      <c r="B41" s="233"/>
      <c r="C41" s="233"/>
      <c r="D41" s="233"/>
      <c r="E41" s="233"/>
      <c r="F41" s="233"/>
      <c r="G41" s="219" t="s">
        <v>203</v>
      </c>
      <c r="H41" s="220">
        <f>$W$22</f>
        <v>0.61247200000000002</v>
      </c>
      <c r="I41" s="234"/>
    </row>
    <row r="42" spans="1:23" ht="15.75">
      <c r="A42" s="235"/>
      <c r="B42" s="236"/>
      <c r="C42" s="236"/>
      <c r="D42" s="236"/>
      <c r="E42" s="236"/>
      <c r="F42" s="236"/>
      <c r="G42" s="236"/>
      <c r="H42" s="224" t="s">
        <v>204</v>
      </c>
      <c r="I42" s="237">
        <f>H41*I40</f>
        <v>356859.73929811968</v>
      </c>
    </row>
    <row r="43" spans="1:23" ht="15.75">
      <c r="A43"/>
      <c r="F43" s="238"/>
      <c r="G43" s="48"/>
    </row>
    <row r="44" spans="1:23">
      <c r="A44" s="114" t="s">
        <v>208</v>
      </c>
      <c r="B44" s="115"/>
      <c r="C44" s="115"/>
      <c r="D44" s="115"/>
      <c r="E44" s="115"/>
      <c r="F44" s="239" t="s">
        <v>185</v>
      </c>
      <c r="G44" s="226" t="s">
        <v>167</v>
      </c>
      <c r="H44" s="226" t="s">
        <v>168</v>
      </c>
      <c r="I44" s="226" t="s">
        <v>205</v>
      </c>
    </row>
    <row r="45" spans="1:23">
      <c r="A45" s="240" t="s">
        <v>209</v>
      </c>
      <c r="B45" s="241"/>
      <c r="C45" s="241"/>
      <c r="D45" s="241"/>
      <c r="E45" s="241"/>
      <c r="F45" s="242">
        <f t="shared" ref="F45:F50" si="3">(G45/$G$51)</f>
        <v>2.0562483417352083E-2</v>
      </c>
      <c r="G45" s="243">
        <f>SUMIF(B7:B33,"MISTA",G7:G33)</f>
        <v>155</v>
      </c>
      <c r="H45" s="243">
        <f>SUMIF(B7:B33,"MISTA",H7:H33)</f>
        <v>33912.5</v>
      </c>
      <c r="I45" s="243">
        <f>SUMIF(B7:B33,"MISTA",I7:I33)</f>
        <v>11720.160000000002</v>
      </c>
    </row>
    <row r="46" spans="1:23">
      <c r="A46" s="240" t="s">
        <v>210</v>
      </c>
      <c r="B46" s="241"/>
      <c r="C46" s="241"/>
      <c r="D46" s="241"/>
      <c r="E46" s="241"/>
      <c r="F46" s="242">
        <f t="shared" si="3"/>
        <v>1.5919342000530645E-3</v>
      </c>
      <c r="G46" s="243">
        <f>SUMIF(B7:B33,"VAPOR DE MERCÚRIO",G7:G33)</f>
        <v>12</v>
      </c>
      <c r="H46" s="243">
        <f>SUMIF(B7:B33,"VAPOR DE MERCÚRIO",H7:H33)</f>
        <v>2011.6</v>
      </c>
      <c r="I46" s="243">
        <f>SUMIF(B7:B33,"VAPOR DE MERCÚRIO",I7:I33)</f>
        <v>695.20895999999993</v>
      </c>
    </row>
    <row r="47" spans="1:23">
      <c r="A47" s="240" t="s">
        <v>211</v>
      </c>
      <c r="B47" s="241"/>
      <c r="C47" s="241"/>
      <c r="D47" s="241"/>
      <c r="E47" s="241"/>
      <c r="F47" s="242">
        <f t="shared" si="3"/>
        <v>0.12151764393738392</v>
      </c>
      <c r="G47" s="243">
        <f>SUMIF(B7:B33,"MULTI VAPOR METÁLICO",G7:G33)</f>
        <v>916</v>
      </c>
      <c r="H47" s="243">
        <f>SUMIF(B7:B33,"MULTI VAPOR METÁLICO",H7:H33)</f>
        <v>334789.8</v>
      </c>
      <c r="I47" s="243">
        <f>SUMIF(B7:B33,"MULTI VAPOR METÁLICO",I7:I33)</f>
        <v>115703.35488</v>
      </c>
    </row>
    <row r="48" spans="1:23">
      <c r="A48" s="244" t="s">
        <v>212</v>
      </c>
      <c r="B48" s="245"/>
      <c r="C48" s="245"/>
      <c r="D48" s="245"/>
      <c r="E48" s="245"/>
      <c r="F48" s="242">
        <f t="shared" si="3"/>
        <v>0.82104006367736804</v>
      </c>
      <c r="G48" s="246">
        <f>SUMIF(B10:B33,"VAPOR DE SÓDIO ALTA PRESSÃO",G10:G33)</f>
        <v>6189</v>
      </c>
      <c r="H48" s="246">
        <f>SUMIF(B10:B33,"VAPOR DE SÓDIO ALTA PRESSÃO",H10:H33)</f>
        <v>1299979.5</v>
      </c>
      <c r="I48" s="246">
        <f>SUMIF(B10:B33,"VAPOR DE SÓDIO ALTA PRESSÃO",I10:I33)</f>
        <v>449272.91520000005</v>
      </c>
    </row>
    <row r="49" spans="1:22">
      <c r="A49" s="244" t="s">
        <v>213</v>
      </c>
      <c r="B49" s="245"/>
      <c r="C49" s="245"/>
      <c r="D49" s="245"/>
      <c r="E49" s="245"/>
      <c r="F49" s="242">
        <f t="shared" si="3"/>
        <v>1.8837888033961261E-2</v>
      </c>
      <c r="G49" s="246">
        <f>SUMIF(B9:B26,"Fluorescente",G9:G26)</f>
        <v>142</v>
      </c>
      <c r="H49" s="246">
        <f>SUMIF(B9:B26,"fluorescente",H9:H26)</f>
        <v>6053</v>
      </c>
      <c r="I49" s="246">
        <f>SUMIF(B9:B26,"fluorescente",I9:I26)</f>
        <v>2091.9168</v>
      </c>
    </row>
    <row r="50" spans="1:22">
      <c r="A50" s="244" t="s">
        <v>214</v>
      </c>
      <c r="B50" s="245"/>
      <c r="C50" s="245"/>
      <c r="D50" s="245"/>
      <c r="E50" s="245"/>
      <c r="F50" s="242">
        <f t="shared" si="3"/>
        <v>1.6449986733881667E-2</v>
      </c>
      <c r="G50" s="246">
        <f>SUMIF(B10:B33,"LED",G10:G33)</f>
        <v>124</v>
      </c>
      <c r="H50" s="246">
        <f>SUMIF(B10:B33,"LED",H10:H33)</f>
        <v>9176</v>
      </c>
      <c r="I50" s="246">
        <f>SUMIF(B10:B33,"LED",I10:I33)</f>
        <v>3171.2255999999998</v>
      </c>
    </row>
    <row r="51" spans="1:22">
      <c r="A51" s="229" t="s">
        <v>207</v>
      </c>
      <c r="B51" s="230"/>
      <c r="C51" s="230"/>
      <c r="D51" s="230"/>
      <c r="E51" s="230"/>
      <c r="F51" s="247">
        <f>SUM(F45:F50)</f>
        <v>1</v>
      </c>
      <c r="G51" s="216">
        <f>SUM(G45:G50)</f>
        <v>7538</v>
      </c>
      <c r="H51" s="216">
        <f>SUM(H45:H50)</f>
        <v>1685922.4</v>
      </c>
      <c r="I51" s="216">
        <f>SUM(I45:I50)</f>
        <v>582654.78144000005</v>
      </c>
    </row>
    <row r="52" spans="1:22" ht="15.75">
      <c r="A52" s="232"/>
      <c r="B52" s="233"/>
      <c r="C52" s="233"/>
      <c r="D52" s="233"/>
      <c r="E52" s="233"/>
      <c r="F52" s="248"/>
      <c r="G52" s="219" t="s">
        <v>203</v>
      </c>
      <c r="H52" s="220">
        <f>$W$22</f>
        <v>0.61247200000000002</v>
      </c>
      <c r="I52" s="234"/>
    </row>
    <row r="53" spans="1:22" ht="15.75">
      <c r="A53" s="235"/>
      <c r="B53" s="236"/>
      <c r="C53" s="236"/>
      <c r="D53" s="236"/>
      <c r="E53" s="236"/>
      <c r="F53" s="249"/>
      <c r="G53" s="236"/>
      <c r="H53" s="224" t="s">
        <v>204</v>
      </c>
      <c r="I53" s="225">
        <f>H52*I51</f>
        <v>356859.73929811973</v>
      </c>
      <c r="K53" s="39">
        <f>I53*12</f>
        <v>4282316.871577437</v>
      </c>
      <c r="V53" s="250"/>
    </row>
    <row r="55" spans="1:22">
      <c r="A55" s="251" t="s">
        <v>615</v>
      </c>
      <c r="B55" s="252"/>
      <c r="C55" s="252"/>
      <c r="D55" s="252"/>
      <c r="E55" s="252"/>
      <c r="F55" s="252"/>
      <c r="G55" s="252"/>
      <c r="H55" s="252"/>
      <c r="I55" s="253"/>
    </row>
    <row r="57" spans="1:22">
      <c r="A57" s="251" t="s">
        <v>162</v>
      </c>
      <c r="B57" s="252"/>
      <c r="C57" s="252"/>
      <c r="D57" s="252"/>
      <c r="E57" s="252"/>
      <c r="F57" s="252"/>
      <c r="G57" s="252"/>
      <c r="H57" s="252"/>
      <c r="I57" s="253"/>
    </row>
    <row r="58" spans="1:22">
      <c r="A58" s="254" t="s">
        <v>163</v>
      </c>
      <c r="B58" s="708" t="s">
        <v>164</v>
      </c>
      <c r="C58" s="255"/>
      <c r="D58" s="256" t="s">
        <v>165</v>
      </c>
      <c r="E58" s="256"/>
      <c r="F58" s="257" t="s">
        <v>166</v>
      </c>
      <c r="G58" s="257" t="s">
        <v>167</v>
      </c>
      <c r="H58" s="257" t="s">
        <v>168</v>
      </c>
      <c r="I58" s="257" t="s">
        <v>169</v>
      </c>
    </row>
    <row r="59" spans="1:22">
      <c r="A59" s="258" t="s">
        <v>177</v>
      </c>
      <c r="B59" s="709"/>
      <c r="C59" s="258" t="s">
        <v>178</v>
      </c>
      <c r="D59" s="258" t="s">
        <v>179</v>
      </c>
      <c r="E59" s="258" t="s">
        <v>180</v>
      </c>
      <c r="F59" s="258" t="s">
        <v>177</v>
      </c>
      <c r="G59" s="258" t="s">
        <v>181</v>
      </c>
      <c r="H59" s="258" t="s">
        <v>177</v>
      </c>
      <c r="I59" s="258" t="s">
        <v>182</v>
      </c>
    </row>
    <row r="60" spans="1:22">
      <c r="A60" s="144">
        <v>40</v>
      </c>
      <c r="B60" s="1" t="s">
        <v>201</v>
      </c>
      <c r="C60" s="1">
        <v>0</v>
      </c>
      <c r="D60" s="1">
        <v>0</v>
      </c>
      <c r="E60" s="1">
        <v>1.5</v>
      </c>
      <c r="F60" s="190">
        <f>SUM(A60,C60:E60)</f>
        <v>41.5</v>
      </c>
      <c r="G60" s="228">
        <v>2422</v>
      </c>
      <c r="H60" s="147">
        <f>G60*F60</f>
        <v>100513</v>
      </c>
      <c r="I60" s="147">
        <f>H60*11.52*30/1000</f>
        <v>34737.292799999996</v>
      </c>
    </row>
    <row r="61" spans="1:22">
      <c r="A61" s="144">
        <v>56</v>
      </c>
      <c r="B61" s="1" t="s">
        <v>201</v>
      </c>
      <c r="C61" s="1">
        <v>0</v>
      </c>
      <c r="D61" s="1">
        <v>0</v>
      </c>
      <c r="E61" s="1">
        <v>1.5</v>
      </c>
      <c r="F61" s="190">
        <f t="shared" ref="F61:F72" si="4">SUM(A61,C61:E61)</f>
        <v>57.5</v>
      </c>
      <c r="G61" s="228">
        <v>1559</v>
      </c>
      <c r="H61" s="147">
        <f>G61*F61</f>
        <v>89642.5</v>
      </c>
      <c r="I61" s="147">
        <f>H61*11.52*30/1000</f>
        <v>30980.448</v>
      </c>
    </row>
    <row r="62" spans="1:22">
      <c r="A62" s="144">
        <v>75</v>
      </c>
      <c r="B62" s="1" t="s">
        <v>201</v>
      </c>
      <c r="C62" s="1">
        <v>0</v>
      </c>
      <c r="D62" s="1">
        <v>0</v>
      </c>
      <c r="E62" s="1">
        <v>1.5</v>
      </c>
      <c r="F62" s="190">
        <f t="shared" si="4"/>
        <v>76.5</v>
      </c>
      <c r="G62" s="228">
        <v>1266</v>
      </c>
      <c r="H62" s="147">
        <f>G62*F62</f>
        <v>96849</v>
      </c>
      <c r="I62" s="147">
        <f>H62*11.52*30/1000</f>
        <v>33471.0144</v>
      </c>
    </row>
    <row r="63" spans="1:22">
      <c r="A63" s="144">
        <v>115</v>
      </c>
      <c r="B63" s="1" t="s">
        <v>201</v>
      </c>
      <c r="C63" s="1">
        <v>0</v>
      </c>
      <c r="D63" s="1">
        <v>0</v>
      </c>
      <c r="E63" s="1">
        <v>1.5</v>
      </c>
      <c r="F63" s="190">
        <f t="shared" si="4"/>
        <v>116.5</v>
      </c>
      <c r="G63" s="228">
        <v>1083</v>
      </c>
      <c r="H63" s="147">
        <f>G63*F63</f>
        <v>126169.5</v>
      </c>
      <c r="I63" s="147">
        <f>H63*11.52*30/1000</f>
        <v>43604.179199999999</v>
      </c>
    </row>
    <row r="64" spans="1:22">
      <c r="A64" s="185">
        <v>129</v>
      </c>
      <c r="B64" s="2" t="s">
        <v>201</v>
      </c>
      <c r="C64" s="2">
        <v>0</v>
      </c>
      <c r="D64" s="2">
        <v>0</v>
      </c>
      <c r="E64" s="2">
        <v>1.5</v>
      </c>
      <c r="F64" s="190">
        <f t="shared" si="4"/>
        <v>130.5</v>
      </c>
      <c r="G64" s="259">
        <v>615</v>
      </c>
      <c r="H64" s="147">
        <f>G64*F64</f>
        <v>80257.5</v>
      </c>
      <c r="I64" s="147">
        <f>H64*11.52*30/1000</f>
        <v>27736.991999999998</v>
      </c>
    </row>
    <row r="65" spans="1:9" ht="13.5" thickBot="1">
      <c r="A65" s="172">
        <v>170</v>
      </c>
      <c r="B65" s="174" t="s">
        <v>201</v>
      </c>
      <c r="C65" s="174">
        <v>0</v>
      </c>
      <c r="D65" s="174">
        <v>0</v>
      </c>
      <c r="E65" s="174">
        <v>1.5</v>
      </c>
      <c r="F65" s="172">
        <f t="shared" si="4"/>
        <v>171.5</v>
      </c>
      <c r="G65" s="260">
        <v>469</v>
      </c>
      <c r="H65" s="176">
        <f t="shared" ref="H65:H72" si="5">G65*F65</f>
        <v>80433.5</v>
      </c>
      <c r="I65" s="176">
        <f t="shared" ref="I65:I72" si="6">H65*11.52*30/1000</f>
        <v>27797.817599999998</v>
      </c>
    </row>
    <row r="66" spans="1:9" ht="13.5" thickTop="1">
      <c r="A66" s="187">
        <v>20</v>
      </c>
      <c r="B66" s="209" t="s">
        <v>215</v>
      </c>
      <c r="C66" s="210">
        <v>0</v>
      </c>
      <c r="D66" s="210">
        <v>0</v>
      </c>
      <c r="E66" s="210">
        <v>1.5</v>
      </c>
      <c r="F66" s="187">
        <f t="shared" si="4"/>
        <v>21.5</v>
      </c>
      <c r="G66" s="211">
        <v>69</v>
      </c>
      <c r="H66" s="189">
        <f t="shared" si="5"/>
        <v>1483.5</v>
      </c>
      <c r="I66" s="189">
        <f t="shared" si="6"/>
        <v>512.69759999999997</v>
      </c>
    </row>
    <row r="67" spans="1:9">
      <c r="A67" s="144">
        <v>30</v>
      </c>
      <c r="B67" s="145" t="s">
        <v>215</v>
      </c>
      <c r="C67" s="1">
        <v>0</v>
      </c>
      <c r="D67" s="1">
        <v>0</v>
      </c>
      <c r="E67" s="1">
        <v>1.5</v>
      </c>
      <c r="F67" s="144">
        <f t="shared" si="4"/>
        <v>31.5</v>
      </c>
      <c r="G67" s="146">
        <v>6</v>
      </c>
      <c r="H67" s="147">
        <f t="shared" si="5"/>
        <v>189</v>
      </c>
      <c r="I67" s="147">
        <f t="shared" si="6"/>
        <v>65.318399999999997</v>
      </c>
    </row>
    <row r="68" spans="1:9">
      <c r="A68" s="144">
        <v>40</v>
      </c>
      <c r="B68" s="145" t="s">
        <v>215</v>
      </c>
      <c r="C68" s="1">
        <v>0</v>
      </c>
      <c r="D68" s="1">
        <v>0</v>
      </c>
      <c r="E68" s="1">
        <v>1.5</v>
      </c>
      <c r="F68" s="144">
        <f t="shared" si="4"/>
        <v>41.5</v>
      </c>
      <c r="G68" s="146">
        <v>2</v>
      </c>
      <c r="H68" s="147">
        <f t="shared" si="5"/>
        <v>83</v>
      </c>
      <c r="I68" s="147">
        <f t="shared" si="6"/>
        <v>28.684799999999999</v>
      </c>
    </row>
    <row r="69" spans="1:9">
      <c r="A69" s="144">
        <v>60</v>
      </c>
      <c r="B69" s="145" t="s">
        <v>215</v>
      </c>
      <c r="C69" s="1">
        <v>0</v>
      </c>
      <c r="D69" s="1">
        <v>0</v>
      </c>
      <c r="E69" s="1">
        <v>1.5</v>
      </c>
      <c r="F69" s="144">
        <f t="shared" si="4"/>
        <v>61.5</v>
      </c>
      <c r="G69" s="146">
        <v>10</v>
      </c>
      <c r="H69" s="147">
        <f t="shared" si="5"/>
        <v>615</v>
      </c>
      <c r="I69" s="147">
        <f t="shared" si="6"/>
        <v>212.54400000000001</v>
      </c>
    </row>
    <row r="70" spans="1:9">
      <c r="A70" s="144">
        <v>100</v>
      </c>
      <c r="B70" s="145" t="s">
        <v>215</v>
      </c>
      <c r="C70" s="1">
        <v>0</v>
      </c>
      <c r="D70" s="1">
        <v>0</v>
      </c>
      <c r="E70" s="1">
        <v>1.5</v>
      </c>
      <c r="F70" s="144">
        <f t="shared" si="4"/>
        <v>101.5</v>
      </c>
      <c r="G70" s="146">
        <v>17</v>
      </c>
      <c r="H70" s="147">
        <f t="shared" si="5"/>
        <v>1725.5</v>
      </c>
      <c r="I70" s="147">
        <f t="shared" si="6"/>
        <v>596.33279999999991</v>
      </c>
    </row>
    <row r="71" spans="1:9">
      <c r="A71" s="144">
        <v>200</v>
      </c>
      <c r="B71" s="145" t="s">
        <v>215</v>
      </c>
      <c r="C71" s="1">
        <v>0</v>
      </c>
      <c r="D71" s="1">
        <v>0</v>
      </c>
      <c r="E71" s="1">
        <v>1.5</v>
      </c>
      <c r="F71" s="144">
        <f t="shared" si="4"/>
        <v>201.5</v>
      </c>
      <c r="G71" s="146">
        <v>6</v>
      </c>
      <c r="H71" s="147">
        <f t="shared" si="5"/>
        <v>1209</v>
      </c>
      <c r="I71" s="147">
        <f t="shared" si="6"/>
        <v>417.8304</v>
      </c>
    </row>
    <row r="72" spans="1:9">
      <c r="A72" s="144">
        <v>275</v>
      </c>
      <c r="B72" s="145" t="s">
        <v>215</v>
      </c>
      <c r="C72" s="1">
        <v>0</v>
      </c>
      <c r="D72" s="1">
        <v>0</v>
      </c>
      <c r="E72" s="1">
        <v>1.5</v>
      </c>
      <c r="F72" s="144">
        <f t="shared" si="4"/>
        <v>276.5</v>
      </c>
      <c r="G72" s="146">
        <v>14</v>
      </c>
      <c r="H72" s="147">
        <f t="shared" si="5"/>
        <v>3871</v>
      </c>
      <c r="I72" s="147">
        <f t="shared" si="6"/>
        <v>1337.8175999999999</v>
      </c>
    </row>
    <row r="73" spans="1:9">
      <c r="A73" s="261" t="s">
        <v>202</v>
      </c>
      <c r="B73" s="262"/>
      <c r="C73" s="262"/>
      <c r="D73" s="262"/>
      <c r="E73" s="262"/>
      <c r="F73" s="262"/>
      <c r="G73" s="216">
        <f>SUM(G60:G72)</f>
        <v>7538</v>
      </c>
      <c r="H73" s="216">
        <f>SUM(H60:H72)</f>
        <v>583041</v>
      </c>
      <c r="I73" s="216">
        <f>SUM(I60:I72)</f>
        <v>201498.96960000001</v>
      </c>
    </row>
    <row r="74" spans="1:9" ht="15.75">
      <c r="A74" s="263"/>
      <c r="B74" s="264"/>
      <c r="C74" s="264"/>
      <c r="D74" s="264"/>
      <c r="E74" s="264"/>
      <c r="F74" s="264"/>
      <c r="G74" s="219" t="s">
        <v>203</v>
      </c>
      <c r="H74" s="220">
        <f>$W$22</f>
        <v>0.61247200000000002</v>
      </c>
      <c r="I74" s="234"/>
    </row>
    <row r="75" spans="1:9" ht="15.75">
      <c r="A75" s="265"/>
      <c r="B75" s="266"/>
      <c r="C75" s="266"/>
      <c r="D75" s="266"/>
      <c r="E75" s="266"/>
      <c r="F75" s="266"/>
      <c r="G75" s="626">
        <v>11.52</v>
      </c>
      <c r="H75" s="267">
        <v>2</v>
      </c>
      <c r="I75" s="225">
        <f>H74*I73</f>
        <v>123412.47690885121</v>
      </c>
    </row>
    <row r="76" spans="1:9">
      <c r="A76" s="8"/>
      <c r="B76" s="8"/>
      <c r="C76" s="8"/>
      <c r="D76" s="8"/>
      <c r="E76" s="8"/>
      <c r="F76" s="8"/>
      <c r="G76" s="268"/>
      <c r="H76" s="268"/>
      <c r="I76" s="268"/>
    </row>
    <row r="77" spans="1:9">
      <c r="A77" s="251" t="s">
        <v>616</v>
      </c>
      <c r="B77" s="252"/>
      <c r="C77" s="252"/>
      <c r="D77" s="252"/>
      <c r="E77" s="252"/>
      <c r="F77" s="252"/>
      <c r="G77" s="269" t="s">
        <v>167</v>
      </c>
      <c r="H77" s="269" t="s">
        <v>168</v>
      </c>
      <c r="I77" s="269" t="s">
        <v>205</v>
      </c>
    </row>
    <row r="78" spans="1:9">
      <c r="A78" s="227" t="s">
        <v>206</v>
      </c>
      <c r="B78" s="10"/>
      <c r="C78" s="10"/>
      <c r="D78" s="10"/>
      <c r="E78" s="10"/>
      <c r="F78" s="11"/>
      <c r="G78" s="228">
        <f>SUM(G60:G72)</f>
        <v>7538</v>
      </c>
      <c r="H78" s="228">
        <f>SUM(H60:H72)</f>
        <v>583041</v>
      </c>
      <c r="I78" s="228">
        <f>SUM(I60:I72)</f>
        <v>201498.96960000001</v>
      </c>
    </row>
    <row r="79" spans="1:9">
      <c r="A79" s="261" t="s">
        <v>207</v>
      </c>
      <c r="B79" s="262"/>
      <c r="C79" s="262"/>
      <c r="D79" s="262"/>
      <c r="E79" s="262"/>
      <c r="F79" s="262"/>
      <c r="G79" s="231">
        <f>SUM(G78:G78)</f>
        <v>7538</v>
      </c>
      <c r="H79" s="231">
        <f>SUM(H78:H78)</f>
        <v>583041</v>
      </c>
      <c r="I79" s="231">
        <f>SUM(I78:I78)</f>
        <v>201498.96960000001</v>
      </c>
    </row>
    <row r="80" spans="1:9" ht="15.75">
      <c r="A80" s="263"/>
      <c r="B80" s="264"/>
      <c r="C80" s="264"/>
      <c r="D80" s="264"/>
      <c r="E80" s="264"/>
      <c r="F80" s="264"/>
      <c r="G80" s="270" t="s">
        <v>216</v>
      </c>
      <c r="H80" s="220">
        <f>$W$22</f>
        <v>0.61247200000000002</v>
      </c>
      <c r="I80" s="234"/>
    </row>
    <row r="81" spans="1:24" ht="15.75">
      <c r="A81" s="265"/>
      <c r="B81" s="266"/>
      <c r="C81" s="266"/>
      <c r="D81" s="266"/>
      <c r="E81" s="266"/>
      <c r="F81" s="266"/>
      <c r="G81" s="266"/>
      <c r="H81" s="267" t="s">
        <v>217</v>
      </c>
      <c r="I81" s="237">
        <f>H80*I79</f>
        <v>123412.47690885121</v>
      </c>
    </row>
    <row r="83" spans="1:24">
      <c r="A83" s="251" t="s">
        <v>218</v>
      </c>
      <c r="B83" s="252"/>
      <c r="C83" s="252"/>
      <c r="D83" s="252"/>
      <c r="E83" s="252"/>
      <c r="F83" s="271" t="s">
        <v>185</v>
      </c>
      <c r="G83" s="269" t="s">
        <v>167</v>
      </c>
      <c r="H83" s="269" t="s">
        <v>168</v>
      </c>
      <c r="I83" s="269" t="s">
        <v>205</v>
      </c>
    </row>
    <row r="84" spans="1:24">
      <c r="A84" s="272" t="s">
        <v>201</v>
      </c>
      <c r="B84" s="273"/>
      <c r="C84" s="273"/>
      <c r="D84" s="273"/>
      <c r="E84" s="273"/>
      <c r="F84" s="242">
        <f>(G84/$G$51)</f>
        <v>0.98355001326611835</v>
      </c>
      <c r="G84" s="246">
        <f>SUMIF(B60:B72,"LED",G60:G72)</f>
        <v>7414</v>
      </c>
      <c r="H84" s="246">
        <f>SUMIF(B60:B72,"LED",H60:H72)</f>
        <v>573865</v>
      </c>
      <c r="I84" s="246">
        <f>SUMIF(B60:B72,"LED",I60:I72)</f>
        <v>198327.74400000001</v>
      </c>
    </row>
    <row r="85" spans="1:24">
      <c r="A85" s="272" t="s">
        <v>219</v>
      </c>
      <c r="B85" s="273"/>
      <c r="C85" s="273"/>
      <c r="D85" s="273"/>
      <c r="E85" s="273"/>
      <c r="F85" s="242">
        <f>(G85/$G$51)</f>
        <v>1.6449986733881667E-2</v>
      </c>
      <c r="G85" s="246">
        <f>SUMIF(B58:B72,"LED EXISTENTE",G58:G72)</f>
        <v>124</v>
      </c>
      <c r="H85" s="246">
        <f>SUMIF(B58:B72,"LED EXISTENTE",H58:H72)</f>
        <v>9176</v>
      </c>
      <c r="I85" s="246">
        <f>SUMIF(B58:B72,"LED EXISTENTE",I58:I72)</f>
        <v>3171.2255999999998</v>
      </c>
    </row>
    <row r="86" spans="1:24">
      <c r="A86" s="261" t="s">
        <v>207</v>
      </c>
      <c r="B86" s="262"/>
      <c r="C86" s="262"/>
      <c r="D86" s="262"/>
      <c r="E86" s="262"/>
      <c r="F86" s="247">
        <f>SUM(F84:F85)</f>
        <v>1</v>
      </c>
      <c r="G86" s="216">
        <f>SUM(G84:G85)</f>
        <v>7538</v>
      </c>
      <c r="H86" s="216">
        <f>SUM(H84:H85)</f>
        <v>583041</v>
      </c>
      <c r="I86" s="216">
        <f>SUM(I84:I85)</f>
        <v>201498.96960000001</v>
      </c>
    </row>
    <row r="87" spans="1:24" ht="15.75">
      <c r="A87" s="263"/>
      <c r="B87" s="264"/>
      <c r="C87" s="264"/>
      <c r="D87" s="264"/>
      <c r="E87" s="264"/>
      <c r="F87" s="274"/>
      <c r="G87" s="219" t="s">
        <v>203</v>
      </c>
      <c r="H87" s="220">
        <f>$W$22</f>
        <v>0.61247200000000002</v>
      </c>
      <c r="I87" s="234"/>
    </row>
    <row r="88" spans="1:24" ht="15.75">
      <c r="A88" s="265"/>
      <c r="B88" s="266"/>
      <c r="C88" s="266"/>
      <c r="D88" s="266"/>
      <c r="E88" s="266"/>
      <c r="F88" s="275"/>
      <c r="G88" s="266"/>
      <c r="H88" s="267" t="s">
        <v>217</v>
      </c>
      <c r="I88" s="225">
        <f>H87*I86</f>
        <v>123412.47690885121</v>
      </c>
    </row>
    <row r="90" spans="1:24" ht="15">
      <c r="B90" s="276" t="s">
        <v>220</v>
      </c>
      <c r="C90" s="277">
        <f>G85</f>
        <v>124</v>
      </c>
      <c r="G90" s="278"/>
      <c r="H90" s="279" t="s">
        <v>221</v>
      </c>
      <c r="I90" s="280">
        <f>I53</f>
        <v>356859.73929811973</v>
      </c>
      <c r="K90" s="281">
        <f>I90*12</f>
        <v>4282316.871577437</v>
      </c>
      <c r="V90" s="282" t="s">
        <v>222</v>
      </c>
      <c r="W90" s="283"/>
      <c r="X90" s="284">
        <f>I90</f>
        <v>356859.73929811973</v>
      </c>
    </row>
    <row r="91" spans="1:24" ht="15">
      <c r="B91" s="285" t="s">
        <v>223</v>
      </c>
      <c r="C91" s="286">
        <f>G84</f>
        <v>7414</v>
      </c>
      <c r="E91" s="250"/>
      <c r="G91" s="287"/>
      <c r="H91" s="288" t="s">
        <v>224</v>
      </c>
      <c r="I91" s="280">
        <f>I81</f>
        <v>123412.47690885121</v>
      </c>
      <c r="L91" s="289"/>
      <c r="M91" s="290" t="s">
        <v>225</v>
      </c>
      <c r="N91" s="119"/>
      <c r="V91" s="291" t="s">
        <v>226</v>
      </c>
      <c r="W91" s="292"/>
      <c r="X91" s="293">
        <f>'5. CRONOGRAMA DE EXECUÇÃO'!C66/60</f>
        <v>145477.79151304107</v>
      </c>
    </row>
    <row r="92" spans="1:24" ht="15">
      <c r="B92" s="294" t="s">
        <v>227</v>
      </c>
      <c r="C92" s="295">
        <f>SUM(C90:C91)</f>
        <v>7538</v>
      </c>
      <c r="G92" s="287"/>
      <c r="H92" s="288" t="s">
        <v>228</v>
      </c>
      <c r="I92" s="296">
        <f>I90-I91</f>
        <v>233447.26238926852</v>
      </c>
      <c r="L92" s="710" t="s">
        <v>229</v>
      </c>
      <c r="M92" s="1" t="s">
        <v>230</v>
      </c>
      <c r="N92" s="1">
        <v>1887</v>
      </c>
      <c r="V92" s="297" t="s">
        <v>231</v>
      </c>
      <c r="W92" s="298"/>
      <c r="X92" s="296">
        <f>X90-X91</f>
        <v>211381.94778507866</v>
      </c>
    </row>
    <row r="93" spans="1:24">
      <c r="G93" s="299"/>
      <c r="H93" s="300" t="s">
        <v>232</v>
      </c>
      <c r="I93" s="301">
        <f>1-I91/I90</f>
        <v>0.65417091557713447</v>
      </c>
      <c r="L93" s="710"/>
      <c r="M93" s="1" t="s">
        <v>233</v>
      </c>
      <c r="N93" s="1">
        <v>11</v>
      </c>
    </row>
    <row r="94" spans="1:24">
      <c r="B94" s="8"/>
      <c r="C94" s="250"/>
      <c r="D94" s="302"/>
      <c r="L94" s="710" t="s">
        <v>234</v>
      </c>
      <c r="M94" s="1" t="s">
        <v>230</v>
      </c>
      <c r="N94" s="1">
        <v>8</v>
      </c>
    </row>
    <row r="95" spans="1:24">
      <c r="B95" s="8"/>
      <c r="C95" s="250"/>
      <c r="D95" s="302"/>
      <c r="G95" s="278"/>
      <c r="H95" s="279" t="s">
        <v>235</v>
      </c>
      <c r="I95" s="296">
        <f>$I$92*12</f>
        <v>2801367.1486712224</v>
      </c>
      <c r="L95" s="710"/>
      <c r="M95" s="1" t="s">
        <v>233</v>
      </c>
      <c r="N95" s="1">
        <v>3906</v>
      </c>
    </row>
    <row r="96" spans="1:24">
      <c r="B96" s="8"/>
      <c r="C96" s="250"/>
      <c r="G96" s="299"/>
      <c r="H96" s="300" t="s">
        <v>236</v>
      </c>
      <c r="I96" s="296">
        <f>$I$92*60</f>
        <v>14006835.743356111</v>
      </c>
      <c r="L96" s="1" t="s">
        <v>237</v>
      </c>
      <c r="M96" s="1" t="s">
        <v>238</v>
      </c>
      <c r="N96" s="1">
        <v>60</v>
      </c>
    </row>
    <row r="97" spans="2:14">
      <c r="B97" s="8"/>
      <c r="C97" s="303"/>
      <c r="L97" s="710" t="s">
        <v>239</v>
      </c>
      <c r="M97" s="1" t="s">
        <v>233</v>
      </c>
      <c r="N97" s="1">
        <v>1</v>
      </c>
    </row>
    <row r="98" spans="2:14">
      <c r="F98" s="304"/>
      <c r="G98" s="305"/>
      <c r="H98" s="279" t="s">
        <v>240</v>
      </c>
      <c r="I98" s="11">
        <v>13.8</v>
      </c>
      <c r="L98" s="710"/>
      <c r="M98" s="1" t="s">
        <v>238</v>
      </c>
      <c r="N98" s="1">
        <v>1057</v>
      </c>
    </row>
    <row r="99" spans="2:14">
      <c r="F99" s="306"/>
      <c r="G99" s="307"/>
      <c r="H99" s="288" t="s">
        <v>235</v>
      </c>
      <c r="I99" s="308">
        <f>I95</f>
        <v>2801367.1486712224</v>
      </c>
      <c r="L99" s="710"/>
      <c r="M99" s="1" t="s">
        <v>241</v>
      </c>
      <c r="N99" s="1">
        <v>385</v>
      </c>
    </row>
    <row r="100" spans="2:14">
      <c r="B100" s="711" t="s">
        <v>242</v>
      </c>
      <c r="C100" s="712"/>
      <c r="D100" s="7" t="s">
        <v>243</v>
      </c>
      <c r="F100" s="309"/>
      <c r="G100" s="266"/>
      <c r="H100" s="300" t="s">
        <v>244</v>
      </c>
      <c r="I100" s="310">
        <f>I99*I98</f>
        <v>38658866.651662871</v>
      </c>
    </row>
    <row r="101" spans="2:14">
      <c r="B101" s="311">
        <v>1998088.66</v>
      </c>
      <c r="C101" s="312" t="s">
        <v>245</v>
      </c>
      <c r="D101" s="313">
        <f>((B101*B104)+B101)/12</f>
        <v>166507.38833333334</v>
      </c>
    </row>
    <row r="102" spans="2:14">
      <c r="B102" s="314"/>
      <c r="C102" s="315"/>
      <c r="F102" s="316"/>
      <c r="G102" s="317"/>
      <c r="H102" s="318" t="s">
        <v>246</v>
      </c>
      <c r="I102" s="308">
        <f>600000</f>
        <v>600000</v>
      </c>
    </row>
    <row r="103" spans="2:14">
      <c r="B103" s="319"/>
      <c r="C103" s="315"/>
      <c r="F103" s="320"/>
      <c r="G103" s="321"/>
      <c r="H103" s="322" t="s">
        <v>247</v>
      </c>
      <c r="I103" s="308">
        <f>I102*12</f>
        <v>7200000</v>
      </c>
    </row>
    <row r="104" spans="2:14">
      <c r="B104" s="323"/>
      <c r="C104" s="324"/>
      <c r="F104" s="320"/>
      <c r="G104" s="321"/>
      <c r="H104" s="322" t="s">
        <v>248</v>
      </c>
      <c r="I104" s="310">
        <v>0</v>
      </c>
    </row>
    <row r="105" spans="2:14">
      <c r="F105" s="325"/>
      <c r="G105" s="326"/>
      <c r="H105" s="327" t="s">
        <v>249</v>
      </c>
      <c r="I105" s="328">
        <f>I103*4</f>
        <v>28800000</v>
      </c>
    </row>
    <row r="106" spans="2:14">
      <c r="B106" s="705"/>
      <c r="C106" s="705"/>
      <c r="D106" s="7"/>
      <c r="L106" s="250"/>
    </row>
    <row r="107" spans="2:14">
      <c r="B107" s="671"/>
      <c r="C107" s="672"/>
      <c r="D107" s="313"/>
      <c r="F107" s="316"/>
      <c r="G107" s="317"/>
      <c r="H107" s="318" t="s">
        <v>250</v>
      </c>
      <c r="I107" s="329">
        <f>SUM(I7:I26)</f>
        <v>579483.55584000004</v>
      </c>
    </row>
    <row r="108" spans="2:14">
      <c r="B108" s="671"/>
      <c r="C108" s="672"/>
      <c r="F108" s="320"/>
      <c r="G108" s="321"/>
      <c r="H108" s="322" t="s">
        <v>251</v>
      </c>
      <c r="I108" s="329">
        <f>SUM(I60:I65)</f>
        <v>198327.74400000001</v>
      </c>
    </row>
    <row r="109" spans="2:14">
      <c r="B109" s="671"/>
      <c r="C109" s="672"/>
      <c r="F109" s="320"/>
      <c r="G109" s="321"/>
      <c r="H109" s="288" t="s">
        <v>252</v>
      </c>
      <c r="I109" s="329">
        <f>I107-I108</f>
        <v>381155.81184000004</v>
      </c>
    </row>
    <row r="110" spans="2:14">
      <c r="B110" s="673"/>
      <c r="C110" s="672"/>
      <c r="F110" s="325"/>
      <c r="G110" s="326"/>
      <c r="H110" s="300" t="s">
        <v>232</v>
      </c>
      <c r="I110" s="330">
        <f>I109/I107</f>
        <v>0.65775086799053217</v>
      </c>
    </row>
  </sheetData>
  <mergeCells count="7">
    <mergeCell ref="B106:C106"/>
    <mergeCell ref="S5:T5"/>
    <mergeCell ref="B58:B59"/>
    <mergeCell ref="L92:L93"/>
    <mergeCell ref="L94:L95"/>
    <mergeCell ref="L97:L99"/>
    <mergeCell ref="B100:C100"/>
  </mergeCells>
  <pageMargins left="0.511811024" right="0.511811024" top="1.41" bottom="0.78740157499999996" header="0.31496062000000002" footer="0.31496062000000002"/>
  <pageSetup paperSize="9" scale="86" orientation="landscape" r:id="rId1"/>
  <headerFooter>
    <oddHeader>&amp;C&amp;G</oddHeader>
  </headerFooter>
  <rowBreaks count="2" manualBreakCount="2">
    <brk id="37" max="16383" man="1"/>
    <brk id="75" max="16383" man="1"/>
  </rowBreaks>
  <colBreaks count="1" manualBreakCount="1">
    <brk id="9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P28"/>
  <sheetViews>
    <sheetView showGridLines="0" tabSelected="1" view="pageBreakPreview" topLeftCell="B1" zoomScale="60" workbookViewId="0">
      <selection activeCell="N21" sqref="N21"/>
    </sheetView>
  </sheetViews>
  <sheetFormatPr defaultColWidth="10.75" defaultRowHeight="12.75"/>
  <cols>
    <col min="1" max="1" width="10.75" style="3"/>
    <col min="2" max="2" width="53.75" style="3" bestFit="1" customWidth="1"/>
    <col min="3" max="3" width="5.25" style="3" customWidth="1"/>
    <col min="4" max="4" width="7.25" style="3" customWidth="1"/>
    <col min="5" max="5" width="16" style="3" bestFit="1" customWidth="1"/>
    <col min="6" max="6" width="22" style="3" bestFit="1" customWidth="1"/>
    <col min="7" max="8" width="1.875" style="3" customWidth="1"/>
    <col min="9" max="9" width="28.5" style="3" bestFit="1" customWidth="1"/>
    <col min="10" max="10" width="29.875" style="3" bestFit="1" customWidth="1"/>
    <col min="11" max="11" width="1.375" style="3" customWidth="1"/>
    <col min="12" max="12" width="12.125" style="3" bestFit="1" customWidth="1"/>
    <col min="13" max="14" width="13.5" style="3" bestFit="1" customWidth="1"/>
    <col min="15" max="15" width="12.125" style="3" bestFit="1" customWidth="1"/>
    <col min="16" max="16" width="13.5" style="3" bestFit="1" customWidth="1"/>
    <col min="17" max="16384" width="10.75" style="3"/>
  </cols>
  <sheetData>
    <row r="2" spans="1:10" ht="38.25">
      <c r="A2" s="380" t="s">
        <v>326</v>
      </c>
      <c r="B2" s="380" t="s">
        <v>327</v>
      </c>
      <c r="C2" s="380" t="s">
        <v>29</v>
      </c>
      <c r="D2" s="380" t="s">
        <v>328</v>
      </c>
      <c r="E2" s="381" t="s">
        <v>557</v>
      </c>
      <c r="F2" s="381" t="s">
        <v>341</v>
      </c>
      <c r="G2" s="574"/>
      <c r="I2" s="381" t="s">
        <v>575</v>
      </c>
      <c r="J2" s="381" t="s">
        <v>341</v>
      </c>
    </row>
    <row r="3" spans="1:10">
      <c r="A3" s="382"/>
      <c r="B3" s="382"/>
      <c r="C3" s="382"/>
      <c r="D3" s="382"/>
      <c r="E3" s="382"/>
      <c r="F3" s="383"/>
      <c r="G3" s="574"/>
    </row>
    <row r="4" spans="1:10">
      <c r="A4" s="384" t="s">
        <v>329</v>
      </c>
      <c r="B4" s="385" t="s">
        <v>330</v>
      </c>
      <c r="C4" s="386"/>
      <c r="D4" s="386"/>
      <c r="E4" s="386"/>
      <c r="F4" s="387"/>
      <c r="G4" s="575"/>
      <c r="I4" s="576"/>
      <c r="J4" s="118"/>
    </row>
    <row r="5" spans="1:10">
      <c r="A5" s="388"/>
      <c r="B5" s="389"/>
      <c r="C5" s="388"/>
      <c r="D5" s="391">
        <f>'2. ECONOMIA DE ENERGIA'!G86</f>
        <v>7538</v>
      </c>
      <c r="E5" s="388"/>
      <c r="F5" s="390"/>
      <c r="G5" s="390"/>
      <c r="I5" s="39"/>
    </row>
    <row r="6" spans="1:10">
      <c r="A6" s="60" t="s">
        <v>331</v>
      </c>
      <c r="B6" s="377" t="str">
        <f>'4. COMPOSIÇÃO DOS SERVIÇOS'!A2</f>
        <v>001 - SERVIÇO DE INSTALAÇÃO DE LUMINÁRIA LED 5.200lm</v>
      </c>
      <c r="C6" s="60" t="s">
        <v>332</v>
      </c>
      <c r="D6" s="378">
        <f>'2. ECONOMIA DE ENERGIA'!G60</f>
        <v>2422</v>
      </c>
      <c r="E6" s="379">
        <f>'4. COMPOSIÇÃO DOS SERVIÇOS'!E11</f>
        <v>1906.1159472008492</v>
      </c>
      <c r="F6" s="379">
        <f>D6*E6</f>
        <v>4616612.8241204564</v>
      </c>
      <c r="G6" s="572"/>
      <c r="I6" s="577">
        <f>((((E6*'7. ADM LOCAL'!$H$17)+E6))*$E$17)+(((E6*'7. ADM LOCAL'!$H$17)+E6))</f>
        <v>2395.8932580068358</v>
      </c>
      <c r="J6" s="577">
        <f>D6*I6</f>
        <v>5802853.470892556</v>
      </c>
    </row>
    <row r="7" spans="1:10">
      <c r="A7" s="60" t="s">
        <v>333</v>
      </c>
      <c r="B7" s="377" t="str">
        <f>'4. COMPOSIÇÃO DOS SERVIÇOS'!A13</f>
        <v>002 - SERVIÇO DE INSTALAÇÃO DE LUMINÁRIA LED 7.400lm</v>
      </c>
      <c r="C7" s="60" t="s">
        <v>332</v>
      </c>
      <c r="D7" s="378">
        <f>'2. ECONOMIA DE ENERGIA'!G61</f>
        <v>1559</v>
      </c>
      <c r="E7" s="379">
        <f>'4. COMPOSIÇÃO DOS SERVIÇOS'!E22</f>
        <v>1957.805947200849</v>
      </c>
      <c r="F7" s="379">
        <f>D7*E7</f>
        <v>3052219.4716861234</v>
      </c>
      <c r="G7" s="572"/>
      <c r="I7" s="577">
        <f>((((E7*'7. ADM LOCAL'!$H$17)+E7))*$E$17)+(((E7*'7. ADM LOCAL'!$H$17)+E7))</f>
        <v>2460.8650256940214</v>
      </c>
      <c r="J7" s="577">
        <f t="shared" ref="J7:J14" si="0">D7*I7</f>
        <v>3836488.5750569794</v>
      </c>
    </row>
    <row r="8" spans="1:10">
      <c r="A8" s="60" t="s">
        <v>334</v>
      </c>
      <c r="B8" s="377" t="str">
        <f>'4. COMPOSIÇÃO DOS SERVIÇOS'!A24</f>
        <v>003 - SERVIÇO DE INSTALAÇÃO DE LUMINÁRIA LED 9.800lm</v>
      </c>
      <c r="C8" s="60" t="s">
        <v>332</v>
      </c>
      <c r="D8" s="378">
        <f>'2. ECONOMIA DE ENERGIA'!G62</f>
        <v>1266</v>
      </c>
      <c r="E8" s="379">
        <f>'4. COMPOSIÇÃO DOS SERVIÇOS'!E33</f>
        <v>2444.1659472008496</v>
      </c>
      <c r="F8" s="379">
        <f t="shared" ref="F8:F14" si="1">D8*E8</f>
        <v>3094314.0891562756</v>
      </c>
      <c r="G8" s="572"/>
      <c r="I8" s="577">
        <f>((((E8*'7. ADM LOCAL'!$H$17)+E8))*$E$17)+(((E8*'7. ADM LOCAL'!$H$17)+E8))</f>
        <v>3072.1954364570247</v>
      </c>
      <c r="J8" s="577">
        <f t="shared" si="0"/>
        <v>3889399.4225545931</v>
      </c>
    </row>
    <row r="9" spans="1:10">
      <c r="A9" s="60" t="s">
        <v>335</v>
      </c>
      <c r="B9" s="377" t="str">
        <f>'4. COMPOSIÇÃO DOS SERVIÇOS'!A35</f>
        <v>004 - SERVIÇO DE INSTALAÇÃO DE LUMINÁRIA LED 15.000lm</v>
      </c>
      <c r="C9" s="60" t="s">
        <v>332</v>
      </c>
      <c r="D9" s="378">
        <f>'2. ECONOMIA DE ENERGIA'!G63</f>
        <v>1083</v>
      </c>
      <c r="E9" s="379">
        <f>'4. COMPOSIÇÃO DOS SERVIÇOS'!E44</f>
        <v>2495.2359472008493</v>
      </c>
      <c r="F9" s="379">
        <f t="shared" si="1"/>
        <v>2702340.5308185196</v>
      </c>
      <c r="G9" s="572"/>
      <c r="I9" s="577">
        <f>((((E9*'7. ADM LOCAL'!$H$17)+E9))*$E$17)+(((E9*'7. ADM LOCAL'!$H$17)+E9))</f>
        <v>3136.3878948780844</v>
      </c>
      <c r="J9" s="577">
        <f t="shared" si="0"/>
        <v>3396708.0901529654</v>
      </c>
    </row>
    <row r="10" spans="1:10">
      <c r="A10" s="60" t="s">
        <v>336</v>
      </c>
      <c r="B10" s="377" t="str">
        <f>'4. COMPOSIÇÃO DOS SERVIÇOS'!A46</f>
        <v>005 - SERVIÇO DE INSTALAÇÃO DE LUMINÁRIA LED 16.800lm c/ Telegestão</v>
      </c>
      <c r="C10" s="60" t="s">
        <v>332</v>
      </c>
      <c r="D10" s="378">
        <f>'2. ECONOMIA DE ENERGIA'!G64</f>
        <v>615</v>
      </c>
      <c r="E10" s="379">
        <f>'4. COMPOSIÇÃO DOS SERVIÇOS'!E55</f>
        <v>3232.2759472008493</v>
      </c>
      <c r="F10" s="379">
        <f t="shared" si="1"/>
        <v>1987849.7075285222</v>
      </c>
      <c r="G10" s="572"/>
      <c r="I10" s="577">
        <f>((((E10*'7. ADM LOCAL'!$H$17)+E10))*$E$17)+(((E10*'7. ADM LOCAL'!$H$17)+E10))</f>
        <v>4062.810639241854</v>
      </c>
      <c r="J10" s="577">
        <f t="shared" si="0"/>
        <v>2498628.5431337403</v>
      </c>
    </row>
    <row r="11" spans="1:10">
      <c r="A11" s="60" t="s">
        <v>337</v>
      </c>
      <c r="B11" s="377" t="str">
        <f>'4. COMPOSIÇÃO DOS SERVIÇOS'!A57</f>
        <v>006 - SERVIÇO DE INSTALAÇÃO DE LUMINÁRIA LED 22.200lm c/ Telegestão</v>
      </c>
      <c r="C11" s="60" t="s">
        <v>332</v>
      </c>
      <c r="D11" s="378">
        <f>'2. ECONOMIA DE ENERGIA'!G65</f>
        <v>469</v>
      </c>
      <c r="E11" s="379">
        <f>'4. COMPOSIÇÃO DOS SERVIÇOS'!E66</f>
        <v>3642.9759472008491</v>
      </c>
      <c r="F11" s="379">
        <f t="shared" si="1"/>
        <v>1708555.7192371981</v>
      </c>
      <c r="G11" s="572"/>
      <c r="I11" s="577">
        <f>((((E11*'7. ADM LOCAL'!$H$17)+E11))*$E$17)+(((E11*'7. ADM LOCAL'!$H$17)+E11))</f>
        <v>4579.0401805288948</v>
      </c>
      <c r="J11" s="577">
        <f t="shared" si="0"/>
        <v>2147569.8446680517</v>
      </c>
    </row>
    <row r="12" spans="1:10">
      <c r="A12" s="60" t="s">
        <v>338</v>
      </c>
      <c r="B12" s="377" t="str">
        <f>'4. COMPOSIÇÃO DOS SERVIÇOS'!A68</f>
        <v>007 - SERVIÇO DE INSTALAÇÃO DE BRAÇO MÉDIO</v>
      </c>
      <c r="C12" s="60" t="s">
        <v>332</v>
      </c>
      <c r="D12" s="378">
        <f>(SUM(D6:D11)-(SUM(D13:D14))-D14)</f>
        <v>6845</v>
      </c>
      <c r="E12" s="379">
        <f>'4. COMPOSIÇÃO DOS SERVIÇOS'!E73</f>
        <v>600.93000000000006</v>
      </c>
      <c r="F12" s="379">
        <f t="shared" si="1"/>
        <v>4113365.8500000006</v>
      </c>
      <c r="G12" s="572"/>
      <c r="I12" s="577">
        <f>((((E12*'7. ADM LOCAL'!$H$17)+E12))*$E$17)+(((E12*'7. ADM LOCAL'!$H$17)+E12))</f>
        <v>755.33922144051974</v>
      </c>
      <c r="J12" s="577">
        <f t="shared" si="0"/>
        <v>5170296.9707603576</v>
      </c>
    </row>
    <row r="13" spans="1:10">
      <c r="A13" s="60" t="s">
        <v>339</v>
      </c>
      <c r="B13" s="377" t="str">
        <f>'4. COMPOSIÇÃO DOS SERVIÇOS'!A75</f>
        <v>008 - SERVIÇO DE INSTALAÇÃO DE BRAÇO GRANDE</v>
      </c>
      <c r="C13" s="60" t="s">
        <v>332</v>
      </c>
      <c r="D13" s="378">
        <v>469</v>
      </c>
      <c r="E13" s="379">
        <f>'4. COMPOSIÇÃO DOS SERVIÇOS'!E80</f>
        <v>735.19999999999993</v>
      </c>
      <c r="F13" s="379">
        <f t="shared" si="1"/>
        <v>344808.8</v>
      </c>
      <c r="G13" s="572"/>
      <c r="I13" s="577">
        <f>((((E13*'7. ADM LOCAL'!$H$17)+E13))*$E$17)+(((E13*'7. ADM LOCAL'!$H$17)+E13))</f>
        <v>924.10995557397689</v>
      </c>
      <c r="J13" s="577">
        <f t="shared" si="0"/>
        <v>433407.56916419516</v>
      </c>
    </row>
    <row r="14" spans="1:10">
      <c r="A14" s="60" t="s">
        <v>340</v>
      </c>
      <c r="B14" s="377" t="str">
        <f>'4. COMPOSIÇÃO DOS SERVIÇOS'!A82</f>
        <v>009 - SERVIÇO DE INSTALAÇÃO DE SUPORTE DE TOPO DUPLO</v>
      </c>
      <c r="C14" s="60" t="s">
        <v>332</v>
      </c>
      <c r="D14" s="378">
        <v>50</v>
      </c>
      <c r="E14" s="379">
        <f>'4. COMPOSIÇÃO DOS SERVIÇOS'!E87</f>
        <v>403.98</v>
      </c>
      <c r="F14" s="379">
        <f t="shared" si="1"/>
        <v>20199</v>
      </c>
      <c r="G14" s="572"/>
      <c r="I14" s="577">
        <f>((((E14*'7. ADM LOCAL'!$H$17)+E14))*$E$17)+(((E14*'7. ADM LOCAL'!$H$17)+E14))</f>
        <v>507.78283440257786</v>
      </c>
      <c r="J14" s="577">
        <f t="shared" si="0"/>
        <v>25389.141720128893</v>
      </c>
    </row>
    <row r="15" spans="1:10">
      <c r="A15" s="60" t="s">
        <v>558</v>
      </c>
      <c r="B15" s="377" t="s">
        <v>559</v>
      </c>
      <c r="C15" s="60" t="s">
        <v>332</v>
      </c>
      <c r="D15" s="378">
        <v>100</v>
      </c>
      <c r="E15" s="379">
        <f>'7. ADM LOCAL'!H15</f>
        <v>9089.6031000000003</v>
      </c>
      <c r="F15" s="379">
        <f t="shared" ref="F15" si="2">D15*E15</f>
        <v>908960.31</v>
      </c>
      <c r="G15" s="572"/>
      <c r="I15" s="577"/>
      <c r="J15" s="577"/>
    </row>
    <row r="16" spans="1:10">
      <c r="A16" s="10"/>
      <c r="B16" s="10"/>
      <c r="C16" s="10"/>
      <c r="D16" s="10"/>
      <c r="E16" s="10"/>
      <c r="F16" s="567">
        <f>SUM(F6:F15)</f>
        <v>22549226.302547097</v>
      </c>
      <c r="G16" s="573"/>
      <c r="I16" s="577"/>
      <c r="J16" s="567">
        <f>SUM(J6:J14)</f>
        <v>27200741.628103565</v>
      </c>
    </row>
    <row r="17" spans="1:16">
      <c r="A17" s="37"/>
      <c r="B17" s="37"/>
      <c r="C17" s="37"/>
      <c r="D17" s="568" t="s">
        <v>161</v>
      </c>
      <c r="E17" s="570">
        <f>'6. COMPOSIÇÃO DE BDI'!I22</f>
        <v>0.20628270181629471</v>
      </c>
      <c r="F17" s="213">
        <f>E17*F16</f>
        <v>4651515.3255564729</v>
      </c>
      <c r="G17" s="213"/>
    </row>
    <row r="18" spans="1:16">
      <c r="A18" s="10"/>
      <c r="B18" s="10"/>
      <c r="C18" s="10"/>
      <c r="D18" s="10"/>
      <c r="E18" s="569" t="s">
        <v>562</v>
      </c>
      <c r="F18" s="567">
        <f>SUM(F16:F17)</f>
        <v>27200741.628103569</v>
      </c>
      <c r="G18" s="573"/>
    </row>
    <row r="20" spans="1:16">
      <c r="J20" s="39"/>
      <c r="L20" s="39"/>
      <c r="M20" s="39"/>
      <c r="N20" s="39"/>
      <c r="O20" s="39"/>
      <c r="P20" s="39"/>
    </row>
    <row r="21" spans="1:16">
      <c r="J21" s="39"/>
      <c r="L21" s="39"/>
      <c r="M21" s="39"/>
      <c r="N21" s="39"/>
      <c r="O21" s="39"/>
      <c r="P21" s="39"/>
    </row>
    <row r="22" spans="1:16">
      <c r="F22" s="39"/>
      <c r="G22" s="39"/>
      <c r="J22" s="39"/>
      <c r="L22" s="39"/>
      <c r="M22" s="39"/>
      <c r="N22" s="39"/>
      <c r="O22" s="39"/>
      <c r="P22" s="39"/>
    </row>
    <row r="23" spans="1:16">
      <c r="J23" s="39"/>
      <c r="L23" s="39"/>
      <c r="M23" s="39"/>
      <c r="N23" s="39"/>
      <c r="O23" s="39"/>
      <c r="P23" s="39"/>
    </row>
    <row r="24" spans="1:16">
      <c r="J24" s="39"/>
      <c r="L24" s="39"/>
      <c r="M24" s="39"/>
      <c r="N24" s="39"/>
      <c r="O24" s="39"/>
      <c r="P24" s="39"/>
    </row>
    <row r="25" spans="1:16">
      <c r="J25" s="39"/>
      <c r="L25" s="39"/>
      <c r="M25" s="39"/>
      <c r="N25" s="39"/>
      <c r="O25" s="39"/>
      <c r="P25" s="39"/>
    </row>
    <row r="26" spans="1:16">
      <c r="J26" s="39"/>
      <c r="L26" s="39"/>
      <c r="M26" s="39"/>
      <c r="N26" s="39"/>
      <c r="O26" s="39"/>
      <c r="P26" s="39"/>
    </row>
    <row r="27" spans="1:16">
      <c r="J27" s="39"/>
      <c r="L27" s="39"/>
      <c r="M27" s="39"/>
      <c r="N27" s="39"/>
      <c r="O27" s="39"/>
      <c r="P27" s="39"/>
    </row>
    <row r="28" spans="1:16">
      <c r="J28" s="39"/>
      <c r="L28" s="39"/>
      <c r="M28" s="39"/>
      <c r="N28" s="39"/>
      <c r="O28" s="39"/>
      <c r="P28" s="39"/>
    </row>
  </sheetData>
  <phoneticPr fontId="31" type="noConversion"/>
  <pageMargins left="0.511811024" right="0.511811024" top="1.5" bottom="0.78740157499999996" header="0.31496062000000002" footer="0.31496062000000002"/>
  <pageSetup paperSize="9" scale="82" orientation="landscape" r:id="rId1"/>
  <headerFooter>
    <oddHeader>&amp;C&amp;G</oddHeader>
  </headerFooter>
  <colBreaks count="1" manualBreakCount="1">
    <brk id="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E87"/>
  <sheetViews>
    <sheetView showGridLines="0" view="pageBreakPreview" topLeftCell="A40" zoomScale="60" workbookViewId="0">
      <selection activeCell="G69" sqref="G69"/>
    </sheetView>
  </sheetViews>
  <sheetFormatPr defaultColWidth="10.75" defaultRowHeight="12.75"/>
  <cols>
    <col min="1" max="1" width="68.75" style="3" customWidth="1"/>
    <col min="2" max="2" width="7.75" style="3" bestFit="1" customWidth="1"/>
    <col min="3" max="3" width="10.875" style="3" bestFit="1" customWidth="1"/>
    <col min="4" max="4" width="11.75" style="3" bestFit="1" customWidth="1"/>
    <col min="5" max="5" width="12.5" style="3" customWidth="1"/>
    <col min="6" max="16384" width="10.75" style="3"/>
  </cols>
  <sheetData>
    <row r="2" spans="1:5">
      <c r="A2" s="110" t="s">
        <v>160</v>
      </c>
      <c r="B2" s="10"/>
      <c r="C2" s="10"/>
      <c r="D2" s="10"/>
      <c r="E2" s="11"/>
    </row>
    <row r="3" spans="1:5">
      <c r="A3" s="13" t="s">
        <v>18</v>
      </c>
      <c r="B3" s="14" t="s">
        <v>17</v>
      </c>
      <c r="C3" s="14" t="s">
        <v>19</v>
      </c>
      <c r="D3" s="14" t="s">
        <v>24</v>
      </c>
      <c r="E3" s="15" t="s">
        <v>21</v>
      </c>
    </row>
    <row r="4" spans="1:5">
      <c r="A4" s="111" t="str">
        <f>'4.a_KIT DE MATERIAIS'!B2</f>
        <v>KIT DE LUMINÁRIA LED 5.200lm - 40W</v>
      </c>
      <c r="B4" s="25" t="s">
        <v>29</v>
      </c>
      <c r="C4" s="25">
        <v>1</v>
      </c>
      <c r="D4" s="28">
        <f>'4.a_KIT DE MATERIAIS'!H8</f>
        <v>1154.3500000000001</v>
      </c>
      <c r="E4" s="29">
        <f>C4*D4</f>
        <v>1154.3500000000001</v>
      </c>
    </row>
    <row r="5" spans="1:5">
      <c r="A5" s="112" t="str">
        <f>'4.d_EQUIPAMENTOS_VEÍCULOS'!B2</f>
        <v>USO DE EQUIPAMENTO/VEÍCULO PARA SUBSTITUIÇÃO DE LUMINÁRIA</v>
      </c>
      <c r="B5" s="4" t="s">
        <v>29</v>
      </c>
      <c r="C5" s="4">
        <v>1</v>
      </c>
      <c r="D5" s="18">
        <f>'4.d_EQUIPAMENTOS_VEÍCULOS'!H8</f>
        <v>39.160000000000004</v>
      </c>
      <c r="E5" s="19">
        <f>C5*D5</f>
        <v>39.160000000000004</v>
      </c>
    </row>
    <row r="6" spans="1:5">
      <c r="A6" s="112" t="str">
        <f>'4.c_SERV._TÉCNICO E ENGENHARIA'!B2</f>
        <v>SERVIÇO DE ENGENHARIA PARA PROJETO EXECUTIVO ELÉTRICO</v>
      </c>
      <c r="B6" s="4" t="s">
        <v>29</v>
      </c>
      <c r="C6" s="4">
        <v>1</v>
      </c>
      <c r="D6" s="18">
        <f>'4.c_SERV._TÉCNICO E ENGENHARIA'!J6</f>
        <v>130.02859909790394</v>
      </c>
      <c r="E6" s="19">
        <f t="shared" ref="E6:E9" si="0">C6*D6</f>
        <v>130.02859909790394</v>
      </c>
    </row>
    <row r="7" spans="1:5">
      <c r="A7" s="112" t="str">
        <f>'4.c_SERV._TÉCNICO E ENGENHARIA'!B9</f>
        <v>SERVIÇO DE ENGENHARIA PARA PROJETO LUMINOTÉCNICO</v>
      </c>
      <c r="B7" s="4" t="s">
        <v>29</v>
      </c>
      <c r="C7" s="4">
        <v>1</v>
      </c>
      <c r="D7" s="18">
        <f>'4.c_SERV._TÉCNICO E ENGENHARIA'!J13</f>
        <v>103.9031002918546</v>
      </c>
      <c r="E7" s="19">
        <f t="shared" si="0"/>
        <v>103.9031002918546</v>
      </c>
    </row>
    <row r="8" spans="1:5">
      <c r="A8" s="112" t="str">
        <f>'4.c_SERV._TÉCNICO E ENGENHARIA'!B33</f>
        <v>SERVIÇO DE OPERAÇÃO CONTINUADA DO PARQUE DE ILUMINAÇÃO PÚBLICA</v>
      </c>
      <c r="B8" s="4" t="s">
        <v>29</v>
      </c>
      <c r="C8" s="4">
        <v>1</v>
      </c>
      <c r="D8" s="18">
        <f>'4.c_SERV._TÉCNICO E ENGENHARIA'!J62</f>
        <v>350.00846776333248</v>
      </c>
      <c r="E8" s="19">
        <f t="shared" si="0"/>
        <v>350.00846776333248</v>
      </c>
    </row>
    <row r="9" spans="1:5">
      <c r="A9" s="112" t="str">
        <f>'4.c_SERV._TÉCNICO E ENGENHARIA'!B16</f>
        <v>SERVIÇO DE TÉCNICO DE CADASTRO DE PONTO GEOREFERENCIADO E ETIQUETADO EM BASE GIS</v>
      </c>
      <c r="B9" s="4" t="s">
        <v>29</v>
      </c>
      <c r="C9" s="4">
        <v>1</v>
      </c>
      <c r="D9" s="18">
        <f>'4.c_SERV._TÉCNICO E ENGENHARIA'!J30</f>
        <v>42.205780047758026</v>
      </c>
      <c r="E9" s="19">
        <f t="shared" si="0"/>
        <v>42.205780047758026</v>
      </c>
    </row>
    <row r="10" spans="1:5">
      <c r="A10" s="113" t="str">
        <f>'4.b_SERV_MAO OBRA OPERACIONAL'!B2</f>
        <v>SERVIÇO/MÃO DE OBRA OPERACIONAL PARA SUBSTITUIÇÃO DE LUMINÁRIA</v>
      </c>
      <c r="B10" s="31" t="s">
        <v>29</v>
      </c>
      <c r="C10" s="31">
        <v>1</v>
      </c>
      <c r="D10" s="34">
        <f>'4.b_SERV_MAO OBRA OPERACIONAL'!H11</f>
        <v>86.46</v>
      </c>
      <c r="E10" s="35">
        <f t="shared" ref="E10" si="1">C10*D10</f>
        <v>86.46</v>
      </c>
    </row>
    <row r="11" spans="1:5">
      <c r="A11" s="562"/>
      <c r="B11" s="563"/>
      <c r="C11" s="563"/>
      <c r="D11" s="564" t="s">
        <v>31</v>
      </c>
      <c r="E11" s="565">
        <f>SUM(E4:E10)</f>
        <v>1906.1159472008492</v>
      </c>
    </row>
    <row r="13" spans="1:5">
      <c r="A13" s="110" t="s">
        <v>318</v>
      </c>
      <c r="B13" s="10"/>
      <c r="C13" s="10"/>
      <c r="D13" s="10"/>
      <c r="E13" s="11"/>
    </row>
    <row r="14" spans="1:5">
      <c r="A14" s="13" t="s">
        <v>18</v>
      </c>
      <c r="B14" s="14" t="s">
        <v>17</v>
      </c>
      <c r="C14" s="14" t="s">
        <v>19</v>
      </c>
      <c r="D14" s="14" t="s">
        <v>24</v>
      </c>
      <c r="E14" s="15" t="s">
        <v>21</v>
      </c>
    </row>
    <row r="15" spans="1:5">
      <c r="A15" s="111" t="str">
        <f>'4.a_KIT DE MATERIAIS'!B10</f>
        <v>KIT DE LUMINÁRIA LED 7.400lm - 56W</v>
      </c>
      <c r="B15" s="25" t="s">
        <v>29</v>
      </c>
      <c r="C15" s="25">
        <v>1</v>
      </c>
      <c r="D15" s="28">
        <f>'4.a_KIT DE MATERIAIS'!H16</f>
        <v>1206.04</v>
      </c>
      <c r="E15" s="29">
        <f>C15*D15</f>
        <v>1206.04</v>
      </c>
    </row>
    <row r="16" spans="1:5">
      <c r="A16" s="112" t="str">
        <f>'4.d_EQUIPAMENTOS_VEÍCULOS'!B2</f>
        <v>USO DE EQUIPAMENTO/VEÍCULO PARA SUBSTITUIÇÃO DE LUMINÁRIA</v>
      </c>
      <c r="B16" s="4" t="s">
        <v>29</v>
      </c>
      <c r="C16" s="4">
        <v>1</v>
      </c>
      <c r="D16" s="18">
        <f>'4.d_EQUIPAMENTOS_VEÍCULOS'!H8</f>
        <v>39.160000000000004</v>
      </c>
      <c r="E16" s="19">
        <f>C16*D16</f>
        <v>39.160000000000004</v>
      </c>
    </row>
    <row r="17" spans="1:5">
      <c r="A17" s="112" t="str">
        <f>'4.c_SERV._TÉCNICO E ENGENHARIA'!B2</f>
        <v>SERVIÇO DE ENGENHARIA PARA PROJETO EXECUTIVO ELÉTRICO</v>
      </c>
      <c r="B17" s="4" t="s">
        <v>29</v>
      </c>
      <c r="C17" s="4">
        <v>1</v>
      </c>
      <c r="D17" s="18">
        <f>'4.c_SERV._TÉCNICO E ENGENHARIA'!J6</f>
        <v>130.02859909790394</v>
      </c>
      <c r="E17" s="19">
        <f t="shared" ref="E17:E21" si="2">C17*D17</f>
        <v>130.02859909790394</v>
      </c>
    </row>
    <row r="18" spans="1:5">
      <c r="A18" s="112" t="str">
        <f>'4.c_SERV._TÉCNICO E ENGENHARIA'!B9</f>
        <v>SERVIÇO DE ENGENHARIA PARA PROJETO LUMINOTÉCNICO</v>
      </c>
      <c r="B18" s="4" t="s">
        <v>29</v>
      </c>
      <c r="C18" s="4">
        <v>1</v>
      </c>
      <c r="D18" s="18">
        <f>'4.c_SERV._TÉCNICO E ENGENHARIA'!J13</f>
        <v>103.9031002918546</v>
      </c>
      <c r="E18" s="19">
        <f t="shared" si="2"/>
        <v>103.9031002918546</v>
      </c>
    </row>
    <row r="19" spans="1:5">
      <c r="A19" s="112" t="str">
        <f>'4.c_SERV._TÉCNICO E ENGENHARIA'!B33</f>
        <v>SERVIÇO DE OPERAÇÃO CONTINUADA DO PARQUE DE ILUMINAÇÃO PÚBLICA</v>
      </c>
      <c r="B19" s="4" t="s">
        <v>29</v>
      </c>
      <c r="C19" s="4">
        <v>1</v>
      </c>
      <c r="D19" s="18">
        <f>'4.c_SERV._TÉCNICO E ENGENHARIA'!J62</f>
        <v>350.00846776333248</v>
      </c>
      <c r="E19" s="19">
        <f t="shared" si="2"/>
        <v>350.00846776333248</v>
      </c>
    </row>
    <row r="20" spans="1:5">
      <c r="A20" s="112" t="str">
        <f>'4.c_SERV._TÉCNICO E ENGENHARIA'!B16</f>
        <v>SERVIÇO DE TÉCNICO DE CADASTRO DE PONTO GEOREFERENCIADO E ETIQUETADO EM BASE GIS</v>
      </c>
      <c r="B20" s="4" t="s">
        <v>29</v>
      </c>
      <c r="C20" s="4">
        <v>1</v>
      </c>
      <c r="D20" s="18">
        <f>'4.c_SERV._TÉCNICO E ENGENHARIA'!J30</f>
        <v>42.205780047758026</v>
      </c>
      <c r="E20" s="19">
        <f t="shared" si="2"/>
        <v>42.205780047758026</v>
      </c>
    </row>
    <row r="21" spans="1:5">
      <c r="A21" s="113" t="str">
        <f>'4.b_SERV_MAO OBRA OPERACIONAL'!B2</f>
        <v>SERVIÇO/MÃO DE OBRA OPERACIONAL PARA SUBSTITUIÇÃO DE LUMINÁRIA</v>
      </c>
      <c r="B21" s="31" t="s">
        <v>29</v>
      </c>
      <c r="C21" s="31">
        <v>1</v>
      </c>
      <c r="D21" s="34">
        <f>'4.b_SERV_MAO OBRA OPERACIONAL'!H11</f>
        <v>86.46</v>
      </c>
      <c r="E21" s="35">
        <f t="shared" si="2"/>
        <v>86.46</v>
      </c>
    </row>
    <row r="22" spans="1:5">
      <c r="A22" s="562"/>
      <c r="B22" s="563"/>
      <c r="C22" s="563"/>
      <c r="D22" s="564" t="s">
        <v>31</v>
      </c>
      <c r="E22" s="565">
        <f>SUM(E15:E21)</f>
        <v>1957.805947200849</v>
      </c>
    </row>
    <row r="24" spans="1:5">
      <c r="A24" s="110" t="s">
        <v>319</v>
      </c>
      <c r="B24" s="10"/>
      <c r="C24" s="10"/>
      <c r="D24" s="10"/>
      <c r="E24" s="11"/>
    </row>
    <row r="25" spans="1:5">
      <c r="A25" s="13" t="s">
        <v>18</v>
      </c>
      <c r="B25" s="14" t="s">
        <v>17</v>
      </c>
      <c r="C25" s="14" t="s">
        <v>19</v>
      </c>
      <c r="D25" s="14" t="s">
        <v>24</v>
      </c>
      <c r="E25" s="15" t="s">
        <v>21</v>
      </c>
    </row>
    <row r="26" spans="1:5">
      <c r="A26" s="111" t="str">
        <f>'4.a_KIT DE MATERIAIS'!B18</f>
        <v>KIT DE LUMINÁRIA LED 9.800lm - 75W</v>
      </c>
      <c r="B26" s="25" t="s">
        <v>29</v>
      </c>
      <c r="C26" s="25">
        <v>1</v>
      </c>
      <c r="D26" s="28">
        <f>'4.a_KIT DE MATERIAIS'!H24</f>
        <v>1692.4</v>
      </c>
      <c r="E26" s="29">
        <f>C26*D26</f>
        <v>1692.4</v>
      </c>
    </row>
    <row r="27" spans="1:5">
      <c r="A27" s="112" t="str">
        <f>'4.d_EQUIPAMENTOS_VEÍCULOS'!B2</f>
        <v>USO DE EQUIPAMENTO/VEÍCULO PARA SUBSTITUIÇÃO DE LUMINÁRIA</v>
      </c>
      <c r="B27" s="4" t="s">
        <v>29</v>
      </c>
      <c r="C27" s="4">
        <v>1</v>
      </c>
      <c r="D27" s="18">
        <f>'4.d_EQUIPAMENTOS_VEÍCULOS'!H8</f>
        <v>39.160000000000004</v>
      </c>
      <c r="E27" s="19">
        <f>C27*D27</f>
        <v>39.160000000000004</v>
      </c>
    </row>
    <row r="28" spans="1:5">
      <c r="A28" s="112" t="str">
        <f>'4.c_SERV._TÉCNICO E ENGENHARIA'!B2</f>
        <v>SERVIÇO DE ENGENHARIA PARA PROJETO EXECUTIVO ELÉTRICO</v>
      </c>
      <c r="B28" s="4" t="s">
        <v>29</v>
      </c>
      <c r="C28" s="4">
        <v>1</v>
      </c>
      <c r="D28" s="18">
        <f>'4.c_SERV._TÉCNICO E ENGENHARIA'!J6</f>
        <v>130.02859909790394</v>
      </c>
      <c r="E28" s="19">
        <f t="shared" ref="E28:E32" si="3">C28*D28</f>
        <v>130.02859909790394</v>
      </c>
    </row>
    <row r="29" spans="1:5">
      <c r="A29" s="112" t="str">
        <f>'4.c_SERV._TÉCNICO E ENGENHARIA'!B9</f>
        <v>SERVIÇO DE ENGENHARIA PARA PROJETO LUMINOTÉCNICO</v>
      </c>
      <c r="B29" s="4" t="s">
        <v>29</v>
      </c>
      <c r="C29" s="4">
        <v>1</v>
      </c>
      <c r="D29" s="18">
        <f>'4.c_SERV._TÉCNICO E ENGENHARIA'!J13</f>
        <v>103.9031002918546</v>
      </c>
      <c r="E29" s="19">
        <f t="shared" si="3"/>
        <v>103.9031002918546</v>
      </c>
    </row>
    <row r="30" spans="1:5">
      <c r="A30" s="112" t="str">
        <f>'4.c_SERV._TÉCNICO E ENGENHARIA'!B33</f>
        <v>SERVIÇO DE OPERAÇÃO CONTINUADA DO PARQUE DE ILUMINAÇÃO PÚBLICA</v>
      </c>
      <c r="B30" s="4" t="s">
        <v>29</v>
      </c>
      <c r="C30" s="4">
        <v>1</v>
      </c>
      <c r="D30" s="18">
        <f>'4.c_SERV._TÉCNICO E ENGENHARIA'!J62</f>
        <v>350.00846776333248</v>
      </c>
      <c r="E30" s="19">
        <f t="shared" si="3"/>
        <v>350.00846776333248</v>
      </c>
    </row>
    <row r="31" spans="1:5">
      <c r="A31" s="112" t="str">
        <f>'4.c_SERV._TÉCNICO E ENGENHARIA'!B16</f>
        <v>SERVIÇO DE TÉCNICO DE CADASTRO DE PONTO GEOREFERENCIADO E ETIQUETADO EM BASE GIS</v>
      </c>
      <c r="B31" s="4" t="s">
        <v>29</v>
      </c>
      <c r="C31" s="4">
        <v>1</v>
      </c>
      <c r="D31" s="18">
        <f>'4.c_SERV._TÉCNICO E ENGENHARIA'!J30</f>
        <v>42.205780047758026</v>
      </c>
      <c r="E31" s="19">
        <f t="shared" si="3"/>
        <v>42.205780047758026</v>
      </c>
    </row>
    <row r="32" spans="1:5">
      <c r="A32" s="113" t="str">
        <f>'4.b_SERV_MAO OBRA OPERACIONAL'!B2</f>
        <v>SERVIÇO/MÃO DE OBRA OPERACIONAL PARA SUBSTITUIÇÃO DE LUMINÁRIA</v>
      </c>
      <c r="B32" s="31" t="s">
        <v>29</v>
      </c>
      <c r="C32" s="31">
        <v>1</v>
      </c>
      <c r="D32" s="34">
        <f>'4.b_SERV_MAO OBRA OPERACIONAL'!H11</f>
        <v>86.46</v>
      </c>
      <c r="E32" s="35">
        <f t="shared" si="3"/>
        <v>86.46</v>
      </c>
    </row>
    <row r="33" spans="1:5">
      <c r="A33" s="562"/>
      <c r="B33" s="563"/>
      <c r="C33" s="563"/>
      <c r="D33" s="564" t="s">
        <v>31</v>
      </c>
      <c r="E33" s="565">
        <f>SUM(E26:E32)</f>
        <v>2444.1659472008496</v>
      </c>
    </row>
    <row r="35" spans="1:5">
      <c r="A35" s="110" t="s">
        <v>320</v>
      </c>
      <c r="B35" s="10"/>
      <c r="C35" s="10"/>
      <c r="D35" s="10"/>
      <c r="E35" s="11"/>
    </row>
    <row r="36" spans="1:5">
      <c r="A36" s="13" t="s">
        <v>18</v>
      </c>
      <c r="B36" s="14" t="s">
        <v>17</v>
      </c>
      <c r="C36" s="14" t="s">
        <v>19</v>
      </c>
      <c r="D36" s="14" t="s">
        <v>24</v>
      </c>
      <c r="E36" s="15" t="s">
        <v>21</v>
      </c>
    </row>
    <row r="37" spans="1:5">
      <c r="A37" s="111" t="str">
        <f>'4.a_KIT DE MATERIAIS'!B26</f>
        <v>KIT DE LUMINÁRIA LED 15.000lm - 115W</v>
      </c>
      <c r="B37" s="25" t="s">
        <v>29</v>
      </c>
      <c r="C37" s="25">
        <v>1</v>
      </c>
      <c r="D37" s="28">
        <f>'4.a_KIT DE MATERIAIS'!H32</f>
        <v>1743.47</v>
      </c>
      <c r="E37" s="29">
        <f>C37*D37</f>
        <v>1743.47</v>
      </c>
    </row>
    <row r="38" spans="1:5">
      <c r="A38" s="112" t="str">
        <f>'4.d_EQUIPAMENTOS_VEÍCULOS'!B2</f>
        <v>USO DE EQUIPAMENTO/VEÍCULO PARA SUBSTITUIÇÃO DE LUMINÁRIA</v>
      </c>
      <c r="B38" s="4" t="s">
        <v>29</v>
      </c>
      <c r="C38" s="4">
        <v>1</v>
      </c>
      <c r="D38" s="18">
        <f>'4.d_EQUIPAMENTOS_VEÍCULOS'!H8</f>
        <v>39.160000000000004</v>
      </c>
      <c r="E38" s="19">
        <f>C38*D38</f>
        <v>39.160000000000004</v>
      </c>
    </row>
    <row r="39" spans="1:5">
      <c r="A39" s="112" t="str">
        <f>'4.c_SERV._TÉCNICO E ENGENHARIA'!B2</f>
        <v>SERVIÇO DE ENGENHARIA PARA PROJETO EXECUTIVO ELÉTRICO</v>
      </c>
      <c r="B39" s="4" t="s">
        <v>29</v>
      </c>
      <c r="C39" s="4">
        <v>1</v>
      </c>
      <c r="D39" s="18">
        <f>'4.c_SERV._TÉCNICO E ENGENHARIA'!J6</f>
        <v>130.02859909790394</v>
      </c>
      <c r="E39" s="19">
        <f t="shared" ref="E39:E43" si="4">C39*D39</f>
        <v>130.02859909790394</v>
      </c>
    </row>
    <row r="40" spans="1:5">
      <c r="A40" s="112" t="str">
        <f>'4.c_SERV._TÉCNICO E ENGENHARIA'!B9</f>
        <v>SERVIÇO DE ENGENHARIA PARA PROJETO LUMINOTÉCNICO</v>
      </c>
      <c r="B40" s="4" t="s">
        <v>29</v>
      </c>
      <c r="C40" s="4">
        <v>1</v>
      </c>
      <c r="D40" s="18">
        <f>'4.c_SERV._TÉCNICO E ENGENHARIA'!J13</f>
        <v>103.9031002918546</v>
      </c>
      <c r="E40" s="19">
        <f t="shared" si="4"/>
        <v>103.9031002918546</v>
      </c>
    </row>
    <row r="41" spans="1:5">
      <c r="A41" s="112" t="str">
        <f>'4.c_SERV._TÉCNICO E ENGENHARIA'!B33</f>
        <v>SERVIÇO DE OPERAÇÃO CONTINUADA DO PARQUE DE ILUMINAÇÃO PÚBLICA</v>
      </c>
      <c r="B41" s="4" t="s">
        <v>29</v>
      </c>
      <c r="C41" s="4">
        <v>1</v>
      </c>
      <c r="D41" s="18">
        <f>'4.c_SERV._TÉCNICO E ENGENHARIA'!J62</f>
        <v>350.00846776333248</v>
      </c>
      <c r="E41" s="19">
        <f t="shared" si="4"/>
        <v>350.00846776333248</v>
      </c>
    </row>
    <row r="42" spans="1:5">
      <c r="A42" s="112" t="str">
        <f>'4.c_SERV._TÉCNICO E ENGENHARIA'!B16</f>
        <v>SERVIÇO DE TÉCNICO DE CADASTRO DE PONTO GEOREFERENCIADO E ETIQUETADO EM BASE GIS</v>
      </c>
      <c r="B42" s="4" t="s">
        <v>29</v>
      </c>
      <c r="C42" s="4">
        <v>1</v>
      </c>
      <c r="D42" s="18">
        <f>'4.c_SERV._TÉCNICO E ENGENHARIA'!J30</f>
        <v>42.205780047758026</v>
      </c>
      <c r="E42" s="19">
        <f t="shared" si="4"/>
        <v>42.205780047758026</v>
      </c>
    </row>
    <row r="43" spans="1:5">
      <c r="A43" s="113" t="str">
        <f>'4.b_SERV_MAO OBRA OPERACIONAL'!B2</f>
        <v>SERVIÇO/MÃO DE OBRA OPERACIONAL PARA SUBSTITUIÇÃO DE LUMINÁRIA</v>
      </c>
      <c r="B43" s="31" t="s">
        <v>29</v>
      </c>
      <c r="C43" s="31">
        <v>1</v>
      </c>
      <c r="D43" s="34">
        <f>'4.b_SERV_MAO OBRA OPERACIONAL'!H11</f>
        <v>86.46</v>
      </c>
      <c r="E43" s="35">
        <f t="shared" si="4"/>
        <v>86.46</v>
      </c>
    </row>
    <row r="44" spans="1:5">
      <c r="A44" s="562"/>
      <c r="B44" s="563"/>
      <c r="C44" s="563"/>
      <c r="D44" s="564" t="s">
        <v>31</v>
      </c>
      <c r="E44" s="565">
        <f>SUM(E37:E43)</f>
        <v>2495.2359472008493</v>
      </c>
    </row>
    <row r="46" spans="1:5">
      <c r="A46" s="110" t="s">
        <v>322</v>
      </c>
      <c r="B46" s="10"/>
      <c r="C46" s="10"/>
      <c r="D46" s="10"/>
      <c r="E46" s="11"/>
    </row>
    <row r="47" spans="1:5">
      <c r="A47" s="13" t="s">
        <v>18</v>
      </c>
      <c r="B47" s="14" t="s">
        <v>17</v>
      </c>
      <c r="C47" s="14" t="s">
        <v>19</v>
      </c>
      <c r="D47" s="14" t="s">
        <v>24</v>
      </c>
      <c r="E47" s="15" t="s">
        <v>21</v>
      </c>
    </row>
    <row r="48" spans="1:5">
      <c r="A48" s="111" t="str">
        <f>'4.a_KIT DE MATERIAIS'!B34</f>
        <v>KIT DE LUMINÁRIA LED 16.800lm COM TELEGESTÃO - 129W</v>
      </c>
      <c r="B48" s="25" t="s">
        <v>29</v>
      </c>
      <c r="C48" s="25">
        <v>1</v>
      </c>
      <c r="D48" s="28">
        <f>'4.a_KIT DE MATERIAIS'!H41</f>
        <v>2480.5100000000002</v>
      </c>
      <c r="E48" s="29">
        <f>C48*D48</f>
        <v>2480.5100000000002</v>
      </c>
    </row>
    <row r="49" spans="1:5">
      <c r="A49" s="112" t="str">
        <f>'4.d_EQUIPAMENTOS_VEÍCULOS'!B2</f>
        <v>USO DE EQUIPAMENTO/VEÍCULO PARA SUBSTITUIÇÃO DE LUMINÁRIA</v>
      </c>
      <c r="B49" s="4" t="s">
        <v>29</v>
      </c>
      <c r="C49" s="4">
        <v>1</v>
      </c>
      <c r="D49" s="18">
        <f>'4.d_EQUIPAMENTOS_VEÍCULOS'!H8</f>
        <v>39.160000000000004</v>
      </c>
      <c r="E49" s="19">
        <f>C49*D49</f>
        <v>39.160000000000004</v>
      </c>
    </row>
    <row r="50" spans="1:5">
      <c r="A50" s="112" t="str">
        <f>'4.c_SERV._TÉCNICO E ENGENHARIA'!B2</f>
        <v>SERVIÇO DE ENGENHARIA PARA PROJETO EXECUTIVO ELÉTRICO</v>
      </c>
      <c r="B50" s="4" t="s">
        <v>29</v>
      </c>
      <c r="C50" s="4">
        <v>1</v>
      </c>
      <c r="D50" s="18">
        <f>'4.c_SERV._TÉCNICO E ENGENHARIA'!J6</f>
        <v>130.02859909790394</v>
      </c>
      <c r="E50" s="19">
        <f t="shared" ref="E50:E54" si="5">C50*D50</f>
        <v>130.02859909790394</v>
      </c>
    </row>
    <row r="51" spans="1:5">
      <c r="A51" s="112" t="str">
        <f>'4.c_SERV._TÉCNICO E ENGENHARIA'!B9</f>
        <v>SERVIÇO DE ENGENHARIA PARA PROJETO LUMINOTÉCNICO</v>
      </c>
      <c r="B51" s="4" t="s">
        <v>29</v>
      </c>
      <c r="C51" s="4">
        <v>1</v>
      </c>
      <c r="D51" s="18">
        <f>'4.c_SERV._TÉCNICO E ENGENHARIA'!J13</f>
        <v>103.9031002918546</v>
      </c>
      <c r="E51" s="19">
        <f t="shared" si="5"/>
        <v>103.9031002918546</v>
      </c>
    </row>
    <row r="52" spans="1:5">
      <c r="A52" s="112" t="str">
        <f>'4.c_SERV._TÉCNICO E ENGENHARIA'!B33</f>
        <v>SERVIÇO DE OPERAÇÃO CONTINUADA DO PARQUE DE ILUMINAÇÃO PÚBLICA</v>
      </c>
      <c r="B52" s="4" t="s">
        <v>29</v>
      </c>
      <c r="C52" s="4">
        <v>1</v>
      </c>
      <c r="D52" s="18">
        <f>'4.c_SERV._TÉCNICO E ENGENHARIA'!J62</f>
        <v>350.00846776333248</v>
      </c>
      <c r="E52" s="19">
        <f t="shared" si="5"/>
        <v>350.00846776333248</v>
      </c>
    </row>
    <row r="53" spans="1:5">
      <c r="A53" s="112" t="str">
        <f>'4.c_SERV._TÉCNICO E ENGENHARIA'!B16</f>
        <v>SERVIÇO DE TÉCNICO DE CADASTRO DE PONTO GEOREFERENCIADO E ETIQUETADO EM BASE GIS</v>
      </c>
      <c r="B53" s="4" t="s">
        <v>29</v>
      </c>
      <c r="C53" s="4">
        <v>1</v>
      </c>
      <c r="D53" s="18">
        <f>'4.c_SERV._TÉCNICO E ENGENHARIA'!J30</f>
        <v>42.205780047758026</v>
      </c>
      <c r="E53" s="19">
        <f t="shared" si="5"/>
        <v>42.205780047758026</v>
      </c>
    </row>
    <row r="54" spans="1:5">
      <c r="A54" s="113" t="str">
        <f>'4.b_SERV_MAO OBRA OPERACIONAL'!B2</f>
        <v>SERVIÇO/MÃO DE OBRA OPERACIONAL PARA SUBSTITUIÇÃO DE LUMINÁRIA</v>
      </c>
      <c r="B54" s="31" t="s">
        <v>29</v>
      </c>
      <c r="C54" s="31">
        <v>1</v>
      </c>
      <c r="D54" s="34">
        <f>'4.b_SERV_MAO OBRA OPERACIONAL'!H11</f>
        <v>86.46</v>
      </c>
      <c r="E54" s="35">
        <f t="shared" si="5"/>
        <v>86.46</v>
      </c>
    </row>
    <row r="55" spans="1:5">
      <c r="A55" s="562"/>
      <c r="B55" s="563"/>
      <c r="C55" s="563"/>
      <c r="D55" s="564" t="s">
        <v>31</v>
      </c>
      <c r="E55" s="565">
        <f>SUM(E48:E54)</f>
        <v>3232.2759472008493</v>
      </c>
    </row>
    <row r="57" spans="1:5">
      <c r="A57" s="110" t="s">
        <v>321</v>
      </c>
      <c r="B57" s="10"/>
      <c r="C57" s="10"/>
      <c r="D57" s="10"/>
      <c r="E57" s="11"/>
    </row>
    <row r="58" spans="1:5">
      <c r="A58" s="13" t="s">
        <v>18</v>
      </c>
      <c r="B58" s="14" t="s">
        <v>17</v>
      </c>
      <c r="C58" s="14" t="s">
        <v>19</v>
      </c>
      <c r="D58" s="14" t="s">
        <v>24</v>
      </c>
      <c r="E58" s="15" t="s">
        <v>21</v>
      </c>
    </row>
    <row r="59" spans="1:5">
      <c r="A59" s="111" t="str">
        <f>'4.a_KIT DE MATERIAIS'!B43</f>
        <v>KIT DE LUMINÁRIA LED 22.200lm COM TELEGESTÃO - 170W</v>
      </c>
      <c r="B59" s="25" t="s">
        <v>29</v>
      </c>
      <c r="C59" s="25">
        <v>1</v>
      </c>
      <c r="D59" s="28">
        <f>'4.a_KIT DE MATERIAIS'!H50</f>
        <v>2891.21</v>
      </c>
      <c r="E59" s="29">
        <f>C59*D59</f>
        <v>2891.21</v>
      </c>
    </row>
    <row r="60" spans="1:5">
      <c r="A60" s="112" t="str">
        <f>'4.d_EQUIPAMENTOS_VEÍCULOS'!B2</f>
        <v>USO DE EQUIPAMENTO/VEÍCULO PARA SUBSTITUIÇÃO DE LUMINÁRIA</v>
      </c>
      <c r="B60" s="4" t="s">
        <v>29</v>
      </c>
      <c r="C60" s="4">
        <v>1</v>
      </c>
      <c r="D60" s="18">
        <f>'4.d_EQUIPAMENTOS_VEÍCULOS'!H8</f>
        <v>39.160000000000004</v>
      </c>
      <c r="E60" s="19">
        <f>C60*D60</f>
        <v>39.160000000000004</v>
      </c>
    </row>
    <row r="61" spans="1:5">
      <c r="A61" s="112" t="str">
        <f>'4.c_SERV._TÉCNICO E ENGENHARIA'!B2</f>
        <v>SERVIÇO DE ENGENHARIA PARA PROJETO EXECUTIVO ELÉTRICO</v>
      </c>
      <c r="B61" s="4" t="s">
        <v>29</v>
      </c>
      <c r="C61" s="4">
        <v>1</v>
      </c>
      <c r="D61" s="18">
        <f>'4.c_SERV._TÉCNICO E ENGENHARIA'!J6</f>
        <v>130.02859909790394</v>
      </c>
      <c r="E61" s="19">
        <f t="shared" ref="E61:E65" si="6">C61*D61</f>
        <v>130.02859909790394</v>
      </c>
    </row>
    <row r="62" spans="1:5">
      <c r="A62" s="112" t="str">
        <f>'4.c_SERV._TÉCNICO E ENGENHARIA'!B9</f>
        <v>SERVIÇO DE ENGENHARIA PARA PROJETO LUMINOTÉCNICO</v>
      </c>
      <c r="B62" s="4" t="s">
        <v>29</v>
      </c>
      <c r="C62" s="4">
        <v>1</v>
      </c>
      <c r="D62" s="18">
        <f>'4.c_SERV._TÉCNICO E ENGENHARIA'!J13</f>
        <v>103.9031002918546</v>
      </c>
      <c r="E62" s="19">
        <f t="shared" si="6"/>
        <v>103.9031002918546</v>
      </c>
    </row>
    <row r="63" spans="1:5">
      <c r="A63" s="112" t="str">
        <f>'4.c_SERV._TÉCNICO E ENGENHARIA'!B33</f>
        <v>SERVIÇO DE OPERAÇÃO CONTINUADA DO PARQUE DE ILUMINAÇÃO PÚBLICA</v>
      </c>
      <c r="B63" s="4" t="s">
        <v>29</v>
      </c>
      <c r="C63" s="4">
        <v>1</v>
      </c>
      <c r="D63" s="18">
        <f>'4.c_SERV._TÉCNICO E ENGENHARIA'!J62</f>
        <v>350.00846776333248</v>
      </c>
      <c r="E63" s="19">
        <f t="shared" si="6"/>
        <v>350.00846776333248</v>
      </c>
    </row>
    <row r="64" spans="1:5">
      <c r="A64" s="112" t="str">
        <f>'4.c_SERV._TÉCNICO E ENGENHARIA'!B16</f>
        <v>SERVIÇO DE TÉCNICO DE CADASTRO DE PONTO GEOREFERENCIADO E ETIQUETADO EM BASE GIS</v>
      </c>
      <c r="B64" s="4" t="s">
        <v>29</v>
      </c>
      <c r="C64" s="4">
        <v>1</v>
      </c>
      <c r="D64" s="18">
        <f>'4.c_SERV._TÉCNICO E ENGENHARIA'!J30</f>
        <v>42.205780047758026</v>
      </c>
      <c r="E64" s="19">
        <f t="shared" si="6"/>
        <v>42.205780047758026</v>
      </c>
    </row>
    <row r="65" spans="1:5">
      <c r="A65" s="113" t="str">
        <f>'4.b_SERV_MAO OBRA OPERACIONAL'!B2</f>
        <v>SERVIÇO/MÃO DE OBRA OPERACIONAL PARA SUBSTITUIÇÃO DE LUMINÁRIA</v>
      </c>
      <c r="B65" s="31" t="s">
        <v>29</v>
      </c>
      <c r="C65" s="31">
        <v>1</v>
      </c>
      <c r="D65" s="34">
        <f>'4.b_SERV_MAO OBRA OPERACIONAL'!H11</f>
        <v>86.46</v>
      </c>
      <c r="E65" s="35">
        <f t="shared" si="6"/>
        <v>86.46</v>
      </c>
    </row>
    <row r="66" spans="1:5">
      <c r="A66" s="562"/>
      <c r="B66" s="563"/>
      <c r="C66" s="563"/>
      <c r="D66" s="564" t="s">
        <v>31</v>
      </c>
      <c r="E66" s="565">
        <f>SUM(E59:E65)</f>
        <v>3642.9759472008491</v>
      </c>
    </row>
    <row r="68" spans="1:5">
      <c r="A68" s="110" t="s">
        <v>323</v>
      </c>
      <c r="B68" s="10"/>
      <c r="C68" s="10"/>
      <c r="D68" s="10"/>
      <c r="E68" s="11"/>
    </row>
    <row r="69" spans="1:5">
      <c r="A69" s="13" t="s">
        <v>18</v>
      </c>
      <c r="B69" s="14" t="s">
        <v>17</v>
      </c>
      <c r="C69" s="14" t="s">
        <v>19</v>
      </c>
      <c r="D69" s="14" t="s">
        <v>24</v>
      </c>
      <c r="E69" s="15" t="s">
        <v>21</v>
      </c>
    </row>
    <row r="70" spans="1:5">
      <c r="A70" s="111" t="str">
        <f>'4.a_KIT DE MATERIAIS'!B52</f>
        <v>KIT DE BRAÇO MÉDIO</v>
      </c>
      <c r="B70" s="25" t="s">
        <v>29</v>
      </c>
      <c r="C70" s="25">
        <v>1</v>
      </c>
      <c r="D70" s="28">
        <f>'4.a_KIT DE MATERIAIS'!H58</f>
        <v>453.31</v>
      </c>
      <c r="E70" s="29">
        <f>C70*D70</f>
        <v>453.31</v>
      </c>
    </row>
    <row r="71" spans="1:5">
      <c r="A71" s="112" t="str">
        <f>'4.d_EQUIPAMENTOS_VEÍCULOS'!B12</f>
        <v>USO DE EQUIPAMENTO/VEÍCULO PARA SUBSTITUIÇÃO DE BRAÇOS</v>
      </c>
      <c r="B71" s="4" t="s">
        <v>29</v>
      </c>
      <c r="C71" s="4">
        <v>1</v>
      </c>
      <c r="D71" s="18">
        <f>'4.d_EQUIPAMENTOS_VEÍCULOS'!H18</f>
        <v>52.23</v>
      </c>
      <c r="E71" s="19">
        <f>C71*D71</f>
        <v>52.23</v>
      </c>
    </row>
    <row r="72" spans="1:5">
      <c r="A72" s="113" t="str">
        <f>'4.b_SERV_MAO OBRA OPERACIONAL'!B15</f>
        <v>SERVIÇO/MÃO DE OBRA OPERACIONAL PARA SUBSTITUIÇÃO DE BRAÇOS</v>
      </c>
      <c r="B72" s="31" t="s">
        <v>29</v>
      </c>
      <c r="C72" s="31">
        <v>1</v>
      </c>
      <c r="D72" s="34">
        <f>'4.b_SERV_MAO OBRA OPERACIONAL'!H24</f>
        <v>95.389999999999986</v>
      </c>
      <c r="E72" s="35">
        <f t="shared" ref="E72" si="7">C72*D72</f>
        <v>95.389999999999986</v>
      </c>
    </row>
    <row r="73" spans="1:5">
      <c r="A73" s="562"/>
      <c r="B73" s="563"/>
      <c r="C73" s="563"/>
      <c r="D73" s="564" t="s">
        <v>31</v>
      </c>
      <c r="E73" s="565">
        <f>SUM(E70:E72)</f>
        <v>600.93000000000006</v>
      </c>
    </row>
    <row r="75" spans="1:5">
      <c r="A75" s="110" t="s">
        <v>324</v>
      </c>
      <c r="B75" s="10"/>
      <c r="C75" s="10"/>
      <c r="D75" s="10"/>
      <c r="E75" s="11"/>
    </row>
    <row r="76" spans="1:5">
      <c r="A76" s="13" t="s">
        <v>18</v>
      </c>
      <c r="B76" s="14" t="s">
        <v>17</v>
      </c>
      <c r="C76" s="14" t="s">
        <v>19</v>
      </c>
      <c r="D76" s="14" t="s">
        <v>24</v>
      </c>
      <c r="E76" s="15" t="s">
        <v>21</v>
      </c>
    </row>
    <row r="77" spans="1:5">
      <c r="A77" s="111" t="str">
        <f>'4.a_KIT DE MATERIAIS'!B60</f>
        <v>KIT DE BRAÇO GRANDE</v>
      </c>
      <c r="B77" s="25" t="s">
        <v>29</v>
      </c>
      <c r="C77" s="25">
        <v>1</v>
      </c>
      <c r="D77" s="28">
        <f>'4.a_KIT DE MATERIAIS'!H66</f>
        <v>587.57999999999993</v>
      </c>
      <c r="E77" s="29">
        <f>C77*D77</f>
        <v>587.57999999999993</v>
      </c>
    </row>
    <row r="78" spans="1:5">
      <c r="A78" s="112" t="str">
        <f>'4.d_EQUIPAMENTOS_VEÍCULOS'!B12</f>
        <v>USO DE EQUIPAMENTO/VEÍCULO PARA SUBSTITUIÇÃO DE BRAÇOS</v>
      </c>
      <c r="B78" s="4" t="s">
        <v>29</v>
      </c>
      <c r="C78" s="4">
        <v>1</v>
      </c>
      <c r="D78" s="18">
        <f>'4.d_EQUIPAMENTOS_VEÍCULOS'!H18</f>
        <v>52.23</v>
      </c>
      <c r="E78" s="19">
        <f>C78*D78</f>
        <v>52.23</v>
      </c>
    </row>
    <row r="79" spans="1:5">
      <c r="A79" s="113" t="str">
        <f>'4.b_SERV_MAO OBRA OPERACIONAL'!B15</f>
        <v>SERVIÇO/MÃO DE OBRA OPERACIONAL PARA SUBSTITUIÇÃO DE BRAÇOS</v>
      </c>
      <c r="B79" s="31" t="s">
        <v>29</v>
      </c>
      <c r="C79" s="31">
        <v>1</v>
      </c>
      <c r="D79" s="34">
        <f>'4.b_SERV_MAO OBRA OPERACIONAL'!H24</f>
        <v>95.389999999999986</v>
      </c>
      <c r="E79" s="35">
        <f t="shared" ref="E79" si="8">C79*D79</f>
        <v>95.389999999999986</v>
      </c>
    </row>
    <row r="80" spans="1:5">
      <c r="A80" s="562"/>
      <c r="B80" s="563"/>
      <c r="C80" s="563"/>
      <c r="D80" s="564" t="s">
        <v>31</v>
      </c>
      <c r="E80" s="565">
        <f>SUM(E77:E79)</f>
        <v>735.19999999999993</v>
      </c>
    </row>
    <row r="82" spans="1:5">
      <c r="A82" s="110" t="s">
        <v>325</v>
      </c>
      <c r="B82" s="10"/>
      <c r="C82" s="10"/>
      <c r="D82" s="10"/>
      <c r="E82" s="11"/>
    </row>
    <row r="83" spans="1:5">
      <c r="A83" s="13" t="s">
        <v>18</v>
      </c>
      <c r="B83" s="14" t="s">
        <v>17</v>
      </c>
      <c r="C83" s="14" t="s">
        <v>19</v>
      </c>
      <c r="D83" s="14" t="s">
        <v>24</v>
      </c>
      <c r="E83" s="15" t="s">
        <v>21</v>
      </c>
    </row>
    <row r="84" spans="1:5">
      <c r="A84" s="111" t="str">
        <f>'4.a_KIT DE MATERIAIS'!B68</f>
        <v xml:space="preserve">KIT DE SUPORTE DE TOPO NUCLEO DUPLO </v>
      </c>
      <c r="B84" s="25" t="s">
        <v>29</v>
      </c>
      <c r="C84" s="25">
        <v>1</v>
      </c>
      <c r="D84" s="28">
        <f>'4.a_KIT DE MATERIAIS'!H74</f>
        <v>256.36</v>
      </c>
      <c r="E84" s="29">
        <f>C84*D84</f>
        <v>256.36</v>
      </c>
    </row>
    <row r="85" spans="1:5">
      <c r="A85" s="112" t="str">
        <f>'4.d_EQUIPAMENTOS_VEÍCULOS'!B12</f>
        <v>USO DE EQUIPAMENTO/VEÍCULO PARA SUBSTITUIÇÃO DE BRAÇOS</v>
      </c>
      <c r="B85" s="4" t="s">
        <v>29</v>
      </c>
      <c r="C85" s="4">
        <v>1</v>
      </c>
      <c r="D85" s="18">
        <f>'4.d_EQUIPAMENTOS_VEÍCULOS'!H18</f>
        <v>52.23</v>
      </c>
      <c r="E85" s="19">
        <f>C85*D85</f>
        <v>52.23</v>
      </c>
    </row>
    <row r="86" spans="1:5">
      <c r="A86" s="113" t="str">
        <f>'4.b_SERV_MAO OBRA OPERACIONAL'!B15</f>
        <v>SERVIÇO/MÃO DE OBRA OPERACIONAL PARA SUBSTITUIÇÃO DE BRAÇOS</v>
      </c>
      <c r="B86" s="31" t="s">
        <v>29</v>
      </c>
      <c r="C86" s="31">
        <v>1</v>
      </c>
      <c r="D86" s="34">
        <f>'4.b_SERV_MAO OBRA OPERACIONAL'!H24</f>
        <v>95.389999999999986</v>
      </c>
      <c r="E86" s="35">
        <f t="shared" ref="E86" si="9">C86*D86</f>
        <v>95.389999999999986</v>
      </c>
    </row>
    <row r="87" spans="1:5">
      <c r="A87" s="562"/>
      <c r="B87" s="563"/>
      <c r="C87" s="563"/>
      <c r="D87" s="564" t="s">
        <v>31</v>
      </c>
      <c r="E87" s="565">
        <f>SUM(E84:E86)</f>
        <v>403.98</v>
      </c>
    </row>
  </sheetData>
  <pageMargins left="0.511811024" right="0.511811024" top="1.45" bottom="0.78740157499999996" header="0.31496062000000002" footer="0.31496062000000002"/>
  <pageSetup paperSize="9" scale="75" orientation="portrait" r:id="rId1"/>
  <headerFooter>
    <oddHeader>&amp;C&amp;G</oddHeader>
  </headerFooter>
  <rowBreaks count="1" manualBreakCount="1">
    <brk id="6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H74"/>
  <sheetViews>
    <sheetView showGridLines="0" view="pageBreakPreview" topLeftCell="A52" zoomScale="60" workbookViewId="0">
      <selection activeCell="K4" sqref="K4"/>
    </sheetView>
  </sheetViews>
  <sheetFormatPr defaultColWidth="10.75" defaultRowHeight="12.75"/>
  <cols>
    <col min="1" max="1" width="12.75" style="3" bestFit="1" customWidth="1"/>
    <col min="2" max="2" width="12.5" style="3" customWidth="1"/>
    <col min="3" max="3" width="65.75" style="3" customWidth="1"/>
    <col min="4" max="4" width="7.75" style="3" bestFit="1" customWidth="1"/>
    <col min="5" max="6" width="10.875" style="3" bestFit="1" customWidth="1"/>
    <col min="7" max="7" width="11.625" style="3" bestFit="1" customWidth="1"/>
    <col min="8" max="8" width="12.5" style="3" customWidth="1"/>
    <col min="9" max="16384" width="10.75" style="3"/>
  </cols>
  <sheetData>
    <row r="2" spans="1:8">
      <c r="A2" s="12" t="s">
        <v>25</v>
      </c>
      <c r="B2" s="9" t="s">
        <v>549</v>
      </c>
      <c r="C2" s="10"/>
      <c r="D2" s="10"/>
      <c r="E2" s="10"/>
      <c r="F2" s="10"/>
      <c r="G2" s="10"/>
      <c r="H2" s="11"/>
    </row>
    <row r="3" spans="1:8">
      <c r="A3" s="13" t="s">
        <v>15</v>
      </c>
      <c r="B3" s="14" t="s">
        <v>16</v>
      </c>
      <c r="C3" s="14" t="s">
        <v>18</v>
      </c>
      <c r="D3" s="14" t="s">
        <v>17</v>
      </c>
      <c r="E3" s="14" t="s">
        <v>19</v>
      </c>
      <c r="F3" s="14" t="s">
        <v>20</v>
      </c>
      <c r="G3" s="14" t="s">
        <v>24</v>
      </c>
      <c r="H3" s="15" t="s">
        <v>21</v>
      </c>
    </row>
    <row r="4" spans="1:8" ht="63.75">
      <c r="A4" s="24" t="s">
        <v>12</v>
      </c>
      <c r="B4" s="25" t="s">
        <v>88</v>
      </c>
      <c r="C4" s="26" t="s">
        <v>87</v>
      </c>
      <c r="D4" s="25" t="s">
        <v>29</v>
      </c>
      <c r="E4" s="25">
        <v>1</v>
      </c>
      <c r="F4" s="27">
        <v>1</v>
      </c>
      <c r="G4" s="28">
        <v>1042.18</v>
      </c>
      <c r="H4" s="29">
        <f>ROUND(E4*F4*G4,2)</f>
        <v>1042.18</v>
      </c>
    </row>
    <row r="5" spans="1:8">
      <c r="A5" s="16" t="s">
        <v>12</v>
      </c>
      <c r="B5" s="6" t="s">
        <v>80</v>
      </c>
      <c r="C5" s="5" t="s">
        <v>81</v>
      </c>
      <c r="D5" s="4" t="s">
        <v>29</v>
      </c>
      <c r="E5" s="4">
        <v>1</v>
      </c>
      <c r="F5" s="17">
        <v>1</v>
      </c>
      <c r="G5" s="18">
        <v>25.69</v>
      </c>
      <c r="H5" s="19">
        <f>ROUND(E5*F5*G5,2)</f>
        <v>25.69</v>
      </c>
    </row>
    <row r="6" spans="1:8">
      <c r="A6" s="16" t="s">
        <v>12</v>
      </c>
      <c r="B6" s="4" t="s">
        <v>82</v>
      </c>
      <c r="C6" s="5" t="s">
        <v>83</v>
      </c>
      <c r="D6" s="4" t="s">
        <v>29</v>
      </c>
      <c r="E6" s="4">
        <v>3</v>
      </c>
      <c r="F6" s="17">
        <v>1</v>
      </c>
      <c r="G6" s="18">
        <v>15.7</v>
      </c>
      <c r="H6" s="19">
        <f>ROUND(E6*F6*G6,2)</f>
        <v>47.1</v>
      </c>
    </row>
    <row r="7" spans="1:8">
      <c r="A7" s="69" t="s">
        <v>0</v>
      </c>
      <c r="B7" s="70" t="s">
        <v>86</v>
      </c>
      <c r="C7" s="32" t="s">
        <v>85</v>
      </c>
      <c r="D7" s="31" t="s">
        <v>84</v>
      </c>
      <c r="E7" s="31">
        <v>5.5</v>
      </c>
      <c r="F7" s="33">
        <v>1</v>
      </c>
      <c r="G7" s="34">
        <v>7.16</v>
      </c>
      <c r="H7" s="35">
        <f>ROUND(E7*F7*G7,2)</f>
        <v>39.380000000000003</v>
      </c>
    </row>
    <row r="8" spans="1:8">
      <c r="A8" s="20"/>
      <c r="B8" s="21"/>
      <c r="C8" s="21"/>
      <c r="D8" s="21"/>
      <c r="E8" s="21"/>
      <c r="F8" s="21"/>
      <c r="G8" s="22" t="s">
        <v>31</v>
      </c>
      <c r="H8" s="23">
        <f>SUM(H4:H7)</f>
        <v>1154.3500000000001</v>
      </c>
    </row>
    <row r="9" spans="1:8" ht="13.9" customHeight="1"/>
    <row r="10" spans="1:8">
      <c r="A10" s="12" t="s">
        <v>32</v>
      </c>
      <c r="B10" s="9" t="s">
        <v>550</v>
      </c>
      <c r="C10" s="10"/>
      <c r="D10" s="10"/>
      <c r="E10" s="10"/>
      <c r="F10" s="10"/>
      <c r="G10" s="10"/>
      <c r="H10" s="11"/>
    </row>
    <row r="11" spans="1:8">
      <c r="A11" s="13" t="s">
        <v>15</v>
      </c>
      <c r="B11" s="14" t="s">
        <v>16</v>
      </c>
      <c r="C11" s="14" t="s">
        <v>18</v>
      </c>
      <c r="D11" s="14" t="s">
        <v>17</v>
      </c>
      <c r="E11" s="14" t="s">
        <v>19</v>
      </c>
      <c r="F11" s="14" t="s">
        <v>20</v>
      </c>
      <c r="G11" s="14" t="s">
        <v>24</v>
      </c>
      <c r="H11" s="15" t="s">
        <v>21</v>
      </c>
    </row>
    <row r="12" spans="1:8" ht="63.75">
      <c r="A12" s="24" t="s">
        <v>12</v>
      </c>
      <c r="B12" s="25" t="s">
        <v>89</v>
      </c>
      <c r="C12" s="26" t="s">
        <v>90</v>
      </c>
      <c r="D12" s="25" t="s">
        <v>29</v>
      </c>
      <c r="E12" s="25">
        <v>1</v>
      </c>
      <c r="F12" s="27">
        <v>1</v>
      </c>
      <c r="G12" s="28">
        <v>1093.8699999999999</v>
      </c>
      <c r="H12" s="29">
        <f>ROUND(E12*F12*G12,2)</f>
        <v>1093.8699999999999</v>
      </c>
    </row>
    <row r="13" spans="1:8">
      <c r="A13" s="16" t="s">
        <v>12</v>
      </c>
      <c r="B13" s="6" t="s">
        <v>80</v>
      </c>
      <c r="C13" s="5" t="s">
        <v>81</v>
      </c>
      <c r="D13" s="4" t="s">
        <v>29</v>
      </c>
      <c r="E13" s="4">
        <v>1</v>
      </c>
      <c r="F13" s="17">
        <v>1</v>
      </c>
      <c r="G13" s="18">
        <v>25.69</v>
      </c>
      <c r="H13" s="19">
        <f>ROUND(E13*F13*G13,2)</f>
        <v>25.69</v>
      </c>
    </row>
    <row r="14" spans="1:8">
      <c r="A14" s="16" t="s">
        <v>12</v>
      </c>
      <c r="B14" s="4" t="s">
        <v>82</v>
      </c>
      <c r="C14" s="5" t="s">
        <v>83</v>
      </c>
      <c r="D14" s="4" t="s">
        <v>29</v>
      </c>
      <c r="E14" s="4">
        <v>3</v>
      </c>
      <c r="F14" s="17">
        <v>1</v>
      </c>
      <c r="G14" s="18">
        <v>15.7</v>
      </c>
      <c r="H14" s="19">
        <f>ROUND(E14*F14*G14,2)</f>
        <v>47.1</v>
      </c>
    </row>
    <row r="15" spans="1:8">
      <c r="A15" s="69" t="s">
        <v>0</v>
      </c>
      <c r="B15" s="70" t="s">
        <v>86</v>
      </c>
      <c r="C15" s="32" t="s">
        <v>85</v>
      </c>
      <c r="D15" s="31" t="s">
        <v>84</v>
      </c>
      <c r="E15" s="31">
        <v>5.5</v>
      </c>
      <c r="F15" s="33">
        <v>1</v>
      </c>
      <c r="G15" s="34">
        <v>7.16</v>
      </c>
      <c r="H15" s="35">
        <f>ROUND(E15*F15*G15,2)</f>
        <v>39.380000000000003</v>
      </c>
    </row>
    <row r="16" spans="1:8">
      <c r="A16" s="20"/>
      <c r="B16" s="21"/>
      <c r="C16" s="21"/>
      <c r="D16" s="21"/>
      <c r="E16" s="21"/>
      <c r="F16" s="21"/>
      <c r="G16" s="22" t="s">
        <v>31</v>
      </c>
      <c r="H16" s="23">
        <f>SUM(H12:H15)</f>
        <v>1206.04</v>
      </c>
    </row>
    <row r="18" spans="1:8">
      <c r="A18" s="12" t="s">
        <v>47</v>
      </c>
      <c r="B18" s="9" t="s">
        <v>551</v>
      </c>
      <c r="C18" s="10"/>
      <c r="D18" s="10"/>
      <c r="E18" s="10"/>
      <c r="F18" s="10"/>
      <c r="G18" s="10"/>
      <c r="H18" s="11"/>
    </row>
    <row r="19" spans="1:8">
      <c r="A19" s="13" t="s">
        <v>15</v>
      </c>
      <c r="B19" s="14" t="s">
        <v>16</v>
      </c>
      <c r="C19" s="14" t="s">
        <v>18</v>
      </c>
      <c r="D19" s="14" t="s">
        <v>17</v>
      </c>
      <c r="E19" s="14" t="s">
        <v>19</v>
      </c>
      <c r="F19" s="14" t="s">
        <v>20</v>
      </c>
      <c r="G19" s="14" t="s">
        <v>24</v>
      </c>
      <c r="H19" s="15" t="s">
        <v>21</v>
      </c>
    </row>
    <row r="20" spans="1:8" ht="63.75">
      <c r="A20" s="24" t="s">
        <v>12</v>
      </c>
      <c r="B20" s="25" t="s">
        <v>91</v>
      </c>
      <c r="C20" s="26" t="s">
        <v>92</v>
      </c>
      <c r="D20" s="25" t="s">
        <v>29</v>
      </c>
      <c r="E20" s="25">
        <v>1</v>
      </c>
      <c r="F20" s="27">
        <v>1</v>
      </c>
      <c r="G20" s="28">
        <v>1580.23</v>
      </c>
      <c r="H20" s="29">
        <f>ROUND(E20*F20*G20,2)</f>
        <v>1580.23</v>
      </c>
    </row>
    <row r="21" spans="1:8">
      <c r="A21" s="16" t="s">
        <v>12</v>
      </c>
      <c r="B21" s="6" t="s">
        <v>80</v>
      </c>
      <c r="C21" s="5" t="s">
        <v>81</v>
      </c>
      <c r="D21" s="4" t="s">
        <v>29</v>
      </c>
      <c r="E21" s="4">
        <v>1</v>
      </c>
      <c r="F21" s="17">
        <v>1</v>
      </c>
      <c r="G21" s="18">
        <v>25.69</v>
      </c>
      <c r="H21" s="19">
        <f>ROUND(E21*F21*G21,2)</f>
        <v>25.69</v>
      </c>
    </row>
    <row r="22" spans="1:8">
      <c r="A22" s="16" t="s">
        <v>12</v>
      </c>
      <c r="B22" s="4" t="s">
        <v>82</v>
      </c>
      <c r="C22" s="5" t="s">
        <v>83</v>
      </c>
      <c r="D22" s="4" t="s">
        <v>29</v>
      </c>
      <c r="E22" s="4">
        <v>3</v>
      </c>
      <c r="F22" s="17">
        <v>1</v>
      </c>
      <c r="G22" s="18">
        <v>15.7</v>
      </c>
      <c r="H22" s="19">
        <f>ROUND(E22*F22*G22,2)</f>
        <v>47.1</v>
      </c>
    </row>
    <row r="23" spans="1:8">
      <c r="A23" s="69" t="s">
        <v>0</v>
      </c>
      <c r="B23" s="70" t="s">
        <v>86</v>
      </c>
      <c r="C23" s="32" t="s">
        <v>85</v>
      </c>
      <c r="D23" s="31" t="s">
        <v>84</v>
      </c>
      <c r="E23" s="31">
        <v>5.5</v>
      </c>
      <c r="F23" s="33">
        <v>1</v>
      </c>
      <c r="G23" s="34">
        <v>7.16</v>
      </c>
      <c r="H23" s="35">
        <f>ROUND(E23*F23*G23,2)</f>
        <v>39.380000000000003</v>
      </c>
    </row>
    <row r="24" spans="1:8">
      <c r="A24" s="20"/>
      <c r="B24" s="21"/>
      <c r="C24" s="21"/>
      <c r="D24" s="21"/>
      <c r="E24" s="21"/>
      <c r="F24" s="21"/>
      <c r="G24" s="22" t="s">
        <v>31</v>
      </c>
      <c r="H24" s="23">
        <f>SUM(H20:H23)</f>
        <v>1692.4</v>
      </c>
    </row>
    <row r="26" spans="1:8">
      <c r="A26" s="12" t="s">
        <v>93</v>
      </c>
      <c r="B26" s="9" t="s">
        <v>552</v>
      </c>
      <c r="C26" s="10"/>
      <c r="D26" s="10"/>
      <c r="E26" s="10"/>
      <c r="F26" s="10"/>
      <c r="G26" s="10"/>
      <c r="H26" s="11"/>
    </row>
    <row r="27" spans="1:8">
      <c r="A27" s="13" t="s">
        <v>15</v>
      </c>
      <c r="B27" s="14" t="s">
        <v>16</v>
      </c>
      <c r="C27" s="14" t="s">
        <v>18</v>
      </c>
      <c r="D27" s="14" t="s">
        <v>17</v>
      </c>
      <c r="E27" s="14" t="s">
        <v>19</v>
      </c>
      <c r="F27" s="14" t="s">
        <v>20</v>
      </c>
      <c r="G27" s="14" t="s">
        <v>24</v>
      </c>
      <c r="H27" s="15" t="s">
        <v>21</v>
      </c>
    </row>
    <row r="28" spans="1:8" ht="63.75">
      <c r="A28" s="24" t="s">
        <v>12</v>
      </c>
      <c r="B28" s="25" t="s">
        <v>94</v>
      </c>
      <c r="C28" s="26" t="s">
        <v>95</v>
      </c>
      <c r="D28" s="25" t="s">
        <v>29</v>
      </c>
      <c r="E28" s="25">
        <v>1</v>
      </c>
      <c r="F28" s="27">
        <v>1</v>
      </c>
      <c r="G28" s="28">
        <v>1631.3</v>
      </c>
      <c r="H28" s="29">
        <f>ROUND(E28*F28*G28,2)</f>
        <v>1631.3</v>
      </c>
    </row>
    <row r="29" spans="1:8">
      <c r="A29" s="16" t="s">
        <v>12</v>
      </c>
      <c r="B29" s="6" t="s">
        <v>80</v>
      </c>
      <c r="C29" s="5" t="s">
        <v>81</v>
      </c>
      <c r="D29" s="4" t="s">
        <v>29</v>
      </c>
      <c r="E29" s="4">
        <v>1</v>
      </c>
      <c r="F29" s="17">
        <v>1</v>
      </c>
      <c r="G29" s="18">
        <v>25.69</v>
      </c>
      <c r="H29" s="19">
        <f>ROUND(E29*F29*G29,2)</f>
        <v>25.69</v>
      </c>
    </row>
    <row r="30" spans="1:8">
      <c r="A30" s="16" t="s">
        <v>12</v>
      </c>
      <c r="B30" s="4" t="s">
        <v>82</v>
      </c>
      <c r="C30" s="5" t="s">
        <v>83</v>
      </c>
      <c r="D30" s="4" t="s">
        <v>29</v>
      </c>
      <c r="E30" s="4">
        <v>3</v>
      </c>
      <c r="F30" s="17">
        <v>1</v>
      </c>
      <c r="G30" s="18">
        <v>15.7</v>
      </c>
      <c r="H30" s="19">
        <f>ROUND(E30*F30*G30,2)</f>
        <v>47.1</v>
      </c>
    </row>
    <row r="31" spans="1:8">
      <c r="A31" s="69" t="s">
        <v>0</v>
      </c>
      <c r="B31" s="70" t="s">
        <v>86</v>
      </c>
      <c r="C31" s="32" t="s">
        <v>85</v>
      </c>
      <c r="D31" s="31" t="s">
        <v>84</v>
      </c>
      <c r="E31" s="31">
        <v>5.5</v>
      </c>
      <c r="F31" s="33">
        <v>1</v>
      </c>
      <c r="G31" s="34">
        <v>7.16</v>
      </c>
      <c r="H31" s="35">
        <f>ROUND(E31*F31*G31,2)</f>
        <v>39.380000000000003</v>
      </c>
    </row>
    <row r="32" spans="1:8">
      <c r="A32" s="20"/>
      <c r="B32" s="21"/>
      <c r="C32" s="21"/>
      <c r="D32" s="21"/>
      <c r="E32" s="21"/>
      <c r="F32" s="21"/>
      <c r="G32" s="22" t="s">
        <v>31</v>
      </c>
      <c r="H32" s="23">
        <f>SUM(H28:H31)</f>
        <v>1743.47</v>
      </c>
    </row>
    <row r="34" spans="1:8">
      <c r="A34" s="12" t="s">
        <v>96</v>
      </c>
      <c r="B34" s="9" t="s">
        <v>548</v>
      </c>
      <c r="C34" s="10"/>
      <c r="D34" s="10"/>
      <c r="E34" s="10"/>
      <c r="F34" s="10"/>
      <c r="G34" s="10"/>
      <c r="H34" s="11"/>
    </row>
    <row r="35" spans="1:8">
      <c r="A35" s="13" t="s">
        <v>15</v>
      </c>
      <c r="B35" s="14" t="s">
        <v>16</v>
      </c>
      <c r="C35" s="14" t="s">
        <v>18</v>
      </c>
      <c r="D35" s="14" t="s">
        <v>17</v>
      </c>
      <c r="E35" s="14" t="s">
        <v>19</v>
      </c>
      <c r="F35" s="14" t="s">
        <v>20</v>
      </c>
      <c r="G35" s="14" t="s">
        <v>24</v>
      </c>
      <c r="H35" s="15" t="s">
        <v>21</v>
      </c>
    </row>
    <row r="36" spans="1:8" ht="63.75">
      <c r="A36" s="24" t="s">
        <v>12</v>
      </c>
      <c r="B36" s="25" t="s">
        <v>94</v>
      </c>
      <c r="C36" s="26" t="s">
        <v>95</v>
      </c>
      <c r="D36" s="25" t="s">
        <v>29</v>
      </c>
      <c r="E36" s="25">
        <v>1</v>
      </c>
      <c r="F36" s="27">
        <v>1</v>
      </c>
      <c r="G36" s="28">
        <v>1631.3</v>
      </c>
      <c r="H36" s="29">
        <f>ROUND(E36*F36*G36,2)</f>
        <v>1631.3</v>
      </c>
    </row>
    <row r="37" spans="1:8">
      <c r="A37" s="16" t="s">
        <v>12</v>
      </c>
      <c r="B37" s="6" t="s">
        <v>80</v>
      </c>
      <c r="C37" s="5" t="s">
        <v>81</v>
      </c>
      <c r="D37" s="4" t="s">
        <v>29</v>
      </c>
      <c r="E37" s="4">
        <v>0</v>
      </c>
      <c r="F37" s="17">
        <v>1</v>
      </c>
      <c r="G37" s="18">
        <v>25.69</v>
      </c>
      <c r="H37" s="19">
        <f>ROUND(E37*F37*G37,2)</f>
        <v>0</v>
      </c>
    </row>
    <row r="38" spans="1:8">
      <c r="A38" s="16" t="s">
        <v>12</v>
      </c>
      <c r="B38" s="4" t="s">
        <v>82</v>
      </c>
      <c r="C38" s="5" t="s">
        <v>83</v>
      </c>
      <c r="D38" s="4" t="s">
        <v>29</v>
      </c>
      <c r="E38" s="4">
        <v>3</v>
      </c>
      <c r="F38" s="17">
        <v>1</v>
      </c>
      <c r="G38" s="18">
        <v>15.7</v>
      </c>
      <c r="H38" s="19">
        <f>ROUND(E38*F38*G38,2)</f>
        <v>47.1</v>
      </c>
    </row>
    <row r="39" spans="1:8">
      <c r="A39" s="16" t="s">
        <v>0</v>
      </c>
      <c r="B39" s="6" t="s">
        <v>86</v>
      </c>
      <c r="C39" s="5" t="s">
        <v>85</v>
      </c>
      <c r="D39" s="4" t="s">
        <v>84</v>
      </c>
      <c r="E39" s="4">
        <v>5.5</v>
      </c>
      <c r="F39" s="17">
        <v>1</v>
      </c>
      <c r="G39" s="18">
        <v>7.16</v>
      </c>
      <c r="H39" s="19">
        <f>ROUND(E39*F39*G39,2)</f>
        <v>39.380000000000003</v>
      </c>
    </row>
    <row r="40" spans="1:8">
      <c r="A40" s="69"/>
      <c r="B40" s="70"/>
      <c r="C40" s="32" t="s">
        <v>100</v>
      </c>
      <c r="D40" s="31" t="s">
        <v>29</v>
      </c>
      <c r="E40" s="31">
        <v>1</v>
      </c>
      <c r="F40" s="33">
        <v>1</v>
      </c>
      <c r="G40" s="34">
        <v>762.73</v>
      </c>
      <c r="H40" s="35">
        <f>ROUND(E40*F40*G40,2)</f>
        <v>762.73</v>
      </c>
    </row>
    <row r="41" spans="1:8">
      <c r="A41" s="20"/>
      <c r="B41" s="21"/>
      <c r="C41" s="21"/>
      <c r="D41" s="21"/>
      <c r="E41" s="21"/>
      <c r="F41" s="21"/>
      <c r="G41" s="22" t="s">
        <v>31</v>
      </c>
      <c r="H41" s="23">
        <f>SUM(H36:H40)</f>
        <v>2480.5100000000002</v>
      </c>
    </row>
    <row r="43" spans="1:8">
      <c r="A43" s="12" t="s">
        <v>97</v>
      </c>
      <c r="B43" s="9" t="s">
        <v>547</v>
      </c>
      <c r="C43" s="10"/>
      <c r="D43" s="10"/>
      <c r="E43" s="10"/>
      <c r="F43" s="10"/>
      <c r="G43" s="10"/>
      <c r="H43" s="11"/>
    </row>
    <row r="44" spans="1:8">
      <c r="A44" s="13" t="s">
        <v>15</v>
      </c>
      <c r="B44" s="14" t="s">
        <v>16</v>
      </c>
      <c r="C44" s="14" t="s">
        <v>18</v>
      </c>
      <c r="D44" s="14" t="s">
        <v>17</v>
      </c>
      <c r="E44" s="14" t="s">
        <v>19</v>
      </c>
      <c r="F44" s="14" t="s">
        <v>20</v>
      </c>
      <c r="G44" s="14" t="s">
        <v>24</v>
      </c>
      <c r="H44" s="15" t="s">
        <v>21</v>
      </c>
    </row>
    <row r="45" spans="1:8" ht="67.900000000000006" customHeight="1">
      <c r="A45" s="24" t="s">
        <v>12</v>
      </c>
      <c r="B45" s="25" t="s">
        <v>98</v>
      </c>
      <c r="C45" s="26" t="s">
        <v>99</v>
      </c>
      <c r="D45" s="25" t="s">
        <v>29</v>
      </c>
      <c r="E45" s="25">
        <v>1</v>
      </c>
      <c r="F45" s="27">
        <v>1</v>
      </c>
      <c r="G45" s="28">
        <v>2042</v>
      </c>
      <c r="H45" s="29">
        <f>ROUND(E45*F45*G45,2)</f>
        <v>2042</v>
      </c>
    </row>
    <row r="46" spans="1:8">
      <c r="A46" s="16" t="s">
        <v>12</v>
      </c>
      <c r="B46" s="6" t="s">
        <v>80</v>
      </c>
      <c r="C46" s="5" t="s">
        <v>81</v>
      </c>
      <c r="D46" s="4" t="s">
        <v>29</v>
      </c>
      <c r="E46" s="4">
        <v>0</v>
      </c>
      <c r="F46" s="17">
        <v>1</v>
      </c>
      <c r="G46" s="18">
        <v>25.69</v>
      </c>
      <c r="H46" s="19">
        <f>ROUND(E46*F46*G46,2)</f>
        <v>0</v>
      </c>
    </row>
    <row r="47" spans="1:8">
      <c r="A47" s="16" t="s">
        <v>12</v>
      </c>
      <c r="B47" s="4" t="s">
        <v>82</v>
      </c>
      <c r="C47" s="5" t="s">
        <v>83</v>
      </c>
      <c r="D47" s="4" t="s">
        <v>29</v>
      </c>
      <c r="E47" s="4">
        <v>3</v>
      </c>
      <c r="F47" s="17">
        <v>1</v>
      </c>
      <c r="G47" s="18">
        <v>15.7</v>
      </c>
      <c r="H47" s="19">
        <f>ROUND(E47*F47*G47,2)</f>
        <v>47.1</v>
      </c>
    </row>
    <row r="48" spans="1:8">
      <c r="A48" s="16" t="s">
        <v>0</v>
      </c>
      <c r="B48" s="6" t="s">
        <v>86</v>
      </c>
      <c r="C48" s="5" t="s">
        <v>85</v>
      </c>
      <c r="D48" s="4" t="s">
        <v>84</v>
      </c>
      <c r="E48" s="4">
        <v>5.5</v>
      </c>
      <c r="F48" s="17">
        <v>1</v>
      </c>
      <c r="G48" s="18">
        <v>7.16</v>
      </c>
      <c r="H48" s="19">
        <f>ROUND(E48*F48*G48,2)</f>
        <v>39.380000000000003</v>
      </c>
    </row>
    <row r="49" spans="1:8">
      <c r="A49" s="69"/>
      <c r="B49" s="70"/>
      <c r="C49" s="32" t="s">
        <v>100</v>
      </c>
      <c r="D49" s="31" t="s">
        <v>29</v>
      </c>
      <c r="E49" s="31">
        <v>1</v>
      </c>
      <c r="F49" s="33">
        <v>1</v>
      </c>
      <c r="G49" s="34">
        <v>762.73</v>
      </c>
      <c r="H49" s="35">
        <f>ROUND(E49*F49*G49,2)</f>
        <v>762.73</v>
      </c>
    </row>
    <row r="50" spans="1:8">
      <c r="A50" s="20"/>
      <c r="B50" s="21"/>
      <c r="C50" s="21"/>
      <c r="D50" s="21"/>
      <c r="E50" s="21"/>
      <c r="F50" s="21"/>
      <c r="G50" s="22" t="s">
        <v>31</v>
      </c>
      <c r="H50" s="23">
        <f>SUM(H45:H49)</f>
        <v>2891.21</v>
      </c>
    </row>
    <row r="52" spans="1:8">
      <c r="A52" s="12" t="s">
        <v>101</v>
      </c>
      <c r="B52" s="9" t="s">
        <v>109</v>
      </c>
      <c r="C52" s="10"/>
      <c r="D52" s="10"/>
      <c r="E52" s="10"/>
      <c r="F52" s="10"/>
      <c r="G52" s="10"/>
      <c r="H52" s="11"/>
    </row>
    <row r="53" spans="1:8">
      <c r="A53" s="13" t="s">
        <v>15</v>
      </c>
      <c r="B53" s="14" t="s">
        <v>16</v>
      </c>
      <c r="C53" s="14" t="s">
        <v>18</v>
      </c>
      <c r="D53" s="14" t="s">
        <v>17</v>
      </c>
      <c r="E53" s="14" t="s">
        <v>19</v>
      </c>
      <c r="F53" s="14" t="s">
        <v>20</v>
      </c>
      <c r="G53" s="14" t="s">
        <v>24</v>
      </c>
      <c r="H53" s="15" t="s">
        <v>21</v>
      </c>
    </row>
    <row r="54" spans="1:8">
      <c r="A54" s="24" t="s">
        <v>12</v>
      </c>
      <c r="B54" s="25" t="s">
        <v>112</v>
      </c>
      <c r="C54" s="26" t="s">
        <v>105</v>
      </c>
      <c r="D54" s="25" t="s">
        <v>29</v>
      </c>
      <c r="E54" s="25">
        <v>1</v>
      </c>
      <c r="F54" s="27">
        <v>1</v>
      </c>
      <c r="G54" s="28">
        <v>339.19</v>
      </c>
      <c r="H54" s="29">
        <f>ROUND(E54*F54*G54,2)</f>
        <v>339.19</v>
      </c>
    </row>
    <row r="55" spans="1:8">
      <c r="A55" s="16" t="s">
        <v>12</v>
      </c>
      <c r="B55" s="6" t="s">
        <v>102</v>
      </c>
      <c r="C55" s="5" t="s">
        <v>108</v>
      </c>
      <c r="D55" s="4" t="s">
        <v>29</v>
      </c>
      <c r="E55" s="4">
        <v>2</v>
      </c>
      <c r="F55" s="17">
        <v>1</v>
      </c>
      <c r="G55" s="18">
        <v>46.98</v>
      </c>
      <c r="H55" s="19">
        <f>ROUND(E55*F55*G55,2)</f>
        <v>93.96</v>
      </c>
    </row>
    <row r="56" spans="1:8">
      <c r="A56" s="16" t="s">
        <v>12</v>
      </c>
      <c r="B56" s="4" t="s">
        <v>103</v>
      </c>
      <c r="C56" s="5" t="s">
        <v>106</v>
      </c>
      <c r="D56" s="4" t="s">
        <v>29</v>
      </c>
      <c r="E56" s="4">
        <v>6</v>
      </c>
      <c r="F56" s="17">
        <v>1</v>
      </c>
      <c r="G56" s="18">
        <v>2.82</v>
      </c>
      <c r="H56" s="19">
        <f>ROUND(E56*F56*G56,2)</f>
        <v>16.920000000000002</v>
      </c>
    </row>
    <row r="57" spans="1:8">
      <c r="A57" s="16" t="s">
        <v>12</v>
      </c>
      <c r="B57" s="6" t="s">
        <v>104</v>
      </c>
      <c r="C57" s="5" t="s">
        <v>107</v>
      </c>
      <c r="D57" s="4" t="s">
        <v>84</v>
      </c>
      <c r="E57" s="4">
        <v>6</v>
      </c>
      <c r="F57" s="17">
        <v>1</v>
      </c>
      <c r="G57" s="18">
        <v>0.54</v>
      </c>
      <c r="H57" s="19">
        <f>ROUND(E57*F57*G57,2)</f>
        <v>3.24</v>
      </c>
    </row>
    <row r="58" spans="1:8">
      <c r="A58" s="20"/>
      <c r="B58" s="21"/>
      <c r="C58" s="21"/>
      <c r="D58" s="21"/>
      <c r="E58" s="21"/>
      <c r="F58" s="21"/>
      <c r="G58" s="22" t="s">
        <v>31</v>
      </c>
      <c r="H58" s="23">
        <f>SUM(H54:H57)</f>
        <v>453.31</v>
      </c>
    </row>
    <row r="60" spans="1:8">
      <c r="A60" s="12" t="s">
        <v>110</v>
      </c>
      <c r="B60" s="9" t="s">
        <v>111</v>
      </c>
      <c r="C60" s="10"/>
      <c r="D60" s="10"/>
      <c r="E60" s="10"/>
      <c r="F60" s="10"/>
      <c r="G60" s="10"/>
      <c r="H60" s="11"/>
    </row>
    <row r="61" spans="1:8">
      <c r="A61" s="13" t="s">
        <v>15</v>
      </c>
      <c r="B61" s="14" t="s">
        <v>16</v>
      </c>
      <c r="C61" s="14" t="s">
        <v>18</v>
      </c>
      <c r="D61" s="14" t="s">
        <v>17</v>
      </c>
      <c r="E61" s="14" t="s">
        <v>19</v>
      </c>
      <c r="F61" s="14" t="s">
        <v>20</v>
      </c>
      <c r="G61" s="14" t="s">
        <v>24</v>
      </c>
      <c r="H61" s="15" t="s">
        <v>21</v>
      </c>
    </row>
    <row r="62" spans="1:8">
      <c r="A62" s="24" t="s">
        <v>12</v>
      </c>
      <c r="B62" s="25" t="s">
        <v>113</v>
      </c>
      <c r="C62" s="26" t="s">
        <v>105</v>
      </c>
      <c r="D62" s="25" t="s">
        <v>29</v>
      </c>
      <c r="E62" s="25">
        <v>1</v>
      </c>
      <c r="F62" s="27">
        <v>1</v>
      </c>
      <c r="G62" s="28">
        <v>473.46</v>
      </c>
      <c r="H62" s="29">
        <f>ROUND(E62*F62*G62,2)</f>
        <v>473.46</v>
      </c>
    </row>
    <row r="63" spans="1:8">
      <c r="A63" s="16" t="s">
        <v>12</v>
      </c>
      <c r="B63" s="6" t="s">
        <v>102</v>
      </c>
      <c r="C63" s="5" t="s">
        <v>108</v>
      </c>
      <c r="D63" s="4" t="s">
        <v>29</v>
      </c>
      <c r="E63" s="4">
        <v>2</v>
      </c>
      <c r="F63" s="17">
        <v>1</v>
      </c>
      <c r="G63" s="18">
        <v>46.98</v>
      </c>
      <c r="H63" s="19">
        <f>ROUND(E63*F63*G63,2)</f>
        <v>93.96</v>
      </c>
    </row>
    <row r="64" spans="1:8">
      <c r="A64" s="16" t="s">
        <v>12</v>
      </c>
      <c r="B64" s="4" t="s">
        <v>103</v>
      </c>
      <c r="C64" s="5" t="s">
        <v>106</v>
      </c>
      <c r="D64" s="4" t="s">
        <v>29</v>
      </c>
      <c r="E64" s="4">
        <v>6</v>
      </c>
      <c r="F64" s="17">
        <v>1</v>
      </c>
      <c r="G64" s="18">
        <v>2.82</v>
      </c>
      <c r="H64" s="19">
        <f>ROUND(E64*F64*G64,2)</f>
        <v>16.920000000000002</v>
      </c>
    </row>
    <row r="65" spans="1:8">
      <c r="A65" s="16" t="s">
        <v>12</v>
      </c>
      <c r="B65" s="6" t="s">
        <v>104</v>
      </c>
      <c r="C65" s="5" t="s">
        <v>107</v>
      </c>
      <c r="D65" s="4" t="s">
        <v>84</v>
      </c>
      <c r="E65" s="4">
        <v>6</v>
      </c>
      <c r="F65" s="17">
        <v>1</v>
      </c>
      <c r="G65" s="18">
        <v>0.54</v>
      </c>
      <c r="H65" s="19">
        <f>ROUND(E65*F65*G65,2)</f>
        <v>3.24</v>
      </c>
    </row>
    <row r="66" spans="1:8">
      <c r="A66" s="20"/>
      <c r="B66" s="21"/>
      <c r="C66" s="21"/>
      <c r="D66" s="21"/>
      <c r="E66" s="21"/>
      <c r="F66" s="21"/>
      <c r="G66" s="22" t="s">
        <v>31</v>
      </c>
      <c r="H66" s="23">
        <f>SUM(H62:H65)</f>
        <v>587.57999999999993</v>
      </c>
    </row>
    <row r="68" spans="1:8">
      <c r="A68" s="12" t="s">
        <v>114</v>
      </c>
      <c r="B68" s="9" t="s">
        <v>115</v>
      </c>
      <c r="C68" s="10"/>
      <c r="D68" s="10"/>
      <c r="E68" s="10"/>
      <c r="F68" s="10"/>
      <c r="G68" s="10"/>
      <c r="H68" s="11"/>
    </row>
    <row r="69" spans="1:8">
      <c r="A69" s="13" t="s">
        <v>15</v>
      </c>
      <c r="B69" s="14" t="s">
        <v>16</v>
      </c>
      <c r="C69" s="14" t="s">
        <v>18</v>
      </c>
      <c r="D69" s="14" t="s">
        <v>17</v>
      </c>
      <c r="E69" s="14" t="s">
        <v>19</v>
      </c>
      <c r="F69" s="14" t="s">
        <v>20</v>
      </c>
      <c r="G69" s="14" t="s">
        <v>24</v>
      </c>
      <c r="H69" s="15" t="s">
        <v>21</v>
      </c>
    </row>
    <row r="70" spans="1:8" ht="63.75">
      <c r="A70" s="24" t="s">
        <v>12</v>
      </c>
      <c r="B70" s="25" t="s">
        <v>117</v>
      </c>
      <c r="C70" s="26" t="s">
        <v>116</v>
      </c>
      <c r="D70" s="25" t="s">
        <v>29</v>
      </c>
      <c r="E70" s="25">
        <v>1</v>
      </c>
      <c r="F70" s="27">
        <v>1</v>
      </c>
      <c r="G70" s="28">
        <v>142.24</v>
      </c>
      <c r="H70" s="29">
        <f>ROUND(E70*F70*G70,2)</f>
        <v>142.24</v>
      </c>
    </row>
    <row r="71" spans="1:8">
      <c r="A71" s="16" t="s">
        <v>12</v>
      </c>
      <c r="B71" s="6" t="s">
        <v>102</v>
      </c>
      <c r="C71" s="5" t="s">
        <v>108</v>
      </c>
      <c r="D71" s="4" t="s">
        <v>29</v>
      </c>
      <c r="E71" s="4">
        <v>2</v>
      </c>
      <c r="F71" s="17">
        <v>1</v>
      </c>
      <c r="G71" s="18">
        <v>46.98</v>
      </c>
      <c r="H71" s="19">
        <f>ROUND(E71*F71*G71,2)</f>
        <v>93.96</v>
      </c>
    </row>
    <row r="72" spans="1:8">
      <c r="A72" s="16" t="s">
        <v>12</v>
      </c>
      <c r="B72" s="4" t="s">
        <v>103</v>
      </c>
      <c r="C72" s="5" t="s">
        <v>106</v>
      </c>
      <c r="D72" s="4" t="s">
        <v>29</v>
      </c>
      <c r="E72" s="4">
        <v>6</v>
      </c>
      <c r="F72" s="17">
        <v>1</v>
      </c>
      <c r="G72" s="18">
        <v>2.82</v>
      </c>
      <c r="H72" s="19">
        <f>ROUND(E72*F72*G72,2)</f>
        <v>16.920000000000002</v>
      </c>
    </row>
    <row r="73" spans="1:8">
      <c r="A73" s="16" t="s">
        <v>12</v>
      </c>
      <c r="B73" s="6" t="s">
        <v>104</v>
      </c>
      <c r="C73" s="5" t="s">
        <v>107</v>
      </c>
      <c r="D73" s="4" t="s">
        <v>84</v>
      </c>
      <c r="E73" s="4">
        <v>6</v>
      </c>
      <c r="F73" s="17">
        <v>1</v>
      </c>
      <c r="G73" s="18">
        <v>0.54</v>
      </c>
      <c r="H73" s="19">
        <f>ROUND(E73*F73*G73,2)</f>
        <v>3.24</v>
      </c>
    </row>
    <row r="74" spans="1:8">
      <c r="A74" s="20"/>
      <c r="B74" s="21"/>
      <c r="C74" s="21"/>
      <c r="D74" s="21"/>
      <c r="E74" s="21"/>
      <c r="F74" s="21"/>
      <c r="G74" s="22" t="s">
        <v>31</v>
      </c>
      <c r="H74" s="23">
        <f>SUM(H70:H73)</f>
        <v>256.36</v>
      </c>
    </row>
  </sheetData>
  <pageMargins left="0.511811024" right="0.511811024" top="1.1100000000000001" bottom="0.54" header="0.31496062000000002" footer="0.31496062000000002"/>
  <pageSetup paperSize="9" scale="55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H26"/>
  <sheetViews>
    <sheetView showGridLines="0" view="pageBreakPreview" topLeftCell="A10" zoomScale="60" workbookViewId="0">
      <selection activeCell="K15" sqref="K15"/>
    </sheetView>
  </sheetViews>
  <sheetFormatPr defaultColWidth="10.75" defaultRowHeight="12.75"/>
  <cols>
    <col min="1" max="1" width="12.75" style="3" bestFit="1" customWidth="1"/>
    <col min="2" max="2" width="12.5" style="3" customWidth="1"/>
    <col min="3" max="3" width="65.75" style="3" customWidth="1"/>
    <col min="4" max="4" width="7.75" style="3" bestFit="1" customWidth="1"/>
    <col min="5" max="7" width="10.75" style="3"/>
    <col min="8" max="8" width="12.5" style="3" customWidth="1"/>
    <col min="9" max="16384" width="10.75" style="3"/>
  </cols>
  <sheetData>
    <row r="2" spans="1:8">
      <c r="A2" s="12" t="s">
        <v>25</v>
      </c>
      <c r="B2" s="9" t="s">
        <v>30</v>
      </c>
      <c r="C2" s="10"/>
      <c r="D2" s="10"/>
      <c r="E2" s="10"/>
      <c r="F2" s="10"/>
      <c r="G2" s="10"/>
      <c r="H2" s="11"/>
    </row>
    <row r="3" spans="1:8">
      <c r="A3" s="13" t="s">
        <v>15</v>
      </c>
      <c r="B3" s="14" t="s">
        <v>16</v>
      </c>
      <c r="C3" s="14" t="s">
        <v>18</v>
      </c>
      <c r="D3" s="14" t="s">
        <v>17</v>
      </c>
      <c r="E3" s="14" t="s">
        <v>19</v>
      </c>
      <c r="F3" s="14" t="s">
        <v>20</v>
      </c>
      <c r="G3" s="14" t="s">
        <v>24</v>
      </c>
      <c r="H3" s="15" t="s">
        <v>21</v>
      </c>
    </row>
    <row r="4" spans="1:8">
      <c r="A4" s="24" t="s">
        <v>0</v>
      </c>
      <c r="B4" s="25" t="s">
        <v>1</v>
      </c>
      <c r="C4" s="26" t="s">
        <v>2</v>
      </c>
      <c r="D4" s="25" t="s">
        <v>22</v>
      </c>
      <c r="E4" s="25">
        <v>1</v>
      </c>
      <c r="F4" s="27">
        <f>15/60</f>
        <v>0.25</v>
      </c>
      <c r="G4" s="28">
        <v>21.67</v>
      </c>
      <c r="H4" s="29">
        <f>ROUND(E4*F4*G4,2)</f>
        <v>5.42</v>
      </c>
    </row>
    <row r="5" spans="1:8">
      <c r="A5" s="16" t="s">
        <v>0</v>
      </c>
      <c r="B5" s="6" t="s">
        <v>5</v>
      </c>
      <c r="C5" s="5" t="s">
        <v>6</v>
      </c>
      <c r="D5" s="4" t="s">
        <v>22</v>
      </c>
      <c r="E5" s="4">
        <v>1</v>
      </c>
      <c r="F5" s="17">
        <f>15/60</f>
        <v>0.25</v>
      </c>
      <c r="G5" s="18">
        <v>12.83</v>
      </c>
      <c r="H5" s="19">
        <f>ROUND(E5*F5*G5,2)</f>
        <v>3.21</v>
      </c>
    </row>
    <row r="6" spans="1:8">
      <c r="A6" s="16" t="s">
        <v>3</v>
      </c>
      <c r="B6" s="4" t="s">
        <v>4</v>
      </c>
      <c r="C6" s="5" t="s">
        <v>7</v>
      </c>
      <c r="D6" s="4" t="s">
        <v>23</v>
      </c>
      <c r="E6" s="4">
        <v>1</v>
      </c>
      <c r="F6" s="17">
        <v>0.3</v>
      </c>
      <c r="G6" s="18">
        <v>0</v>
      </c>
      <c r="H6" s="19">
        <f>ROUND(F6*(SUM(H4:H5)),2)</f>
        <v>2.59</v>
      </c>
    </row>
    <row r="7" spans="1:8">
      <c r="A7" s="16" t="s">
        <v>0</v>
      </c>
      <c r="B7" s="6" t="s">
        <v>8</v>
      </c>
      <c r="C7" s="5" t="s">
        <v>9</v>
      </c>
      <c r="D7" s="4" t="s">
        <v>22</v>
      </c>
      <c r="E7" s="4">
        <v>1</v>
      </c>
      <c r="F7" s="17">
        <f>15/60</f>
        <v>0.25</v>
      </c>
      <c r="G7" s="18">
        <v>23.32</v>
      </c>
      <c r="H7" s="19">
        <f>ROUND(E7*F7*G7,2)</f>
        <v>5.83</v>
      </c>
    </row>
    <row r="8" spans="1:8">
      <c r="A8" s="16" t="s">
        <v>0</v>
      </c>
      <c r="B8" s="4" t="s">
        <v>10</v>
      </c>
      <c r="C8" s="5" t="s">
        <v>11</v>
      </c>
      <c r="D8" s="4" t="s">
        <v>22</v>
      </c>
      <c r="E8" s="4">
        <v>1</v>
      </c>
      <c r="F8" s="17">
        <f>15/60</f>
        <v>0.25</v>
      </c>
      <c r="G8" s="18">
        <v>36.07</v>
      </c>
      <c r="H8" s="19">
        <f>ROUND(E8*F8*G8,2)</f>
        <v>9.02</v>
      </c>
    </row>
    <row r="9" spans="1:8" ht="25.5">
      <c r="A9" s="16" t="s">
        <v>12</v>
      </c>
      <c r="B9" s="4" t="s">
        <v>13</v>
      </c>
      <c r="C9" s="5" t="s">
        <v>14</v>
      </c>
      <c r="D9" s="4" t="s">
        <v>23</v>
      </c>
      <c r="E9" s="4">
        <v>1</v>
      </c>
      <c r="F9" s="17">
        <v>0.03</v>
      </c>
      <c r="G9" s="18">
        <v>0</v>
      </c>
      <c r="H9" s="19">
        <f>ROUND(F9*(SUM(H4:H8)),2)</f>
        <v>0.78</v>
      </c>
    </row>
    <row r="10" spans="1:8">
      <c r="A10" s="30" t="s">
        <v>26</v>
      </c>
      <c r="B10" s="31" t="s">
        <v>27</v>
      </c>
      <c r="C10" s="32" t="s">
        <v>28</v>
      </c>
      <c r="D10" s="31" t="s">
        <v>29</v>
      </c>
      <c r="E10" s="31">
        <v>1</v>
      </c>
      <c r="F10" s="33">
        <v>1</v>
      </c>
      <c r="G10" s="34">
        <v>59.61</v>
      </c>
      <c r="H10" s="35">
        <f>ROUND(E10*F10*G10,2)</f>
        <v>59.61</v>
      </c>
    </row>
    <row r="11" spans="1:8">
      <c r="A11" s="20"/>
      <c r="B11" s="21"/>
      <c r="C11" s="21"/>
      <c r="D11" s="21"/>
      <c r="E11" s="21"/>
      <c r="F11" s="21"/>
      <c r="G11" s="22" t="s">
        <v>31</v>
      </c>
      <c r="H11" s="23">
        <f>SUM(H4:H10)</f>
        <v>86.46</v>
      </c>
    </row>
    <row r="12" spans="1:8">
      <c r="A12" s="36" t="s">
        <v>34</v>
      </c>
      <c r="B12" s="37"/>
      <c r="C12" s="37"/>
      <c r="D12" s="37"/>
      <c r="E12" s="37"/>
      <c r="F12" s="37"/>
      <c r="G12" s="37"/>
      <c r="H12" s="38"/>
    </row>
    <row r="13" spans="1:8" ht="85.15" customHeight="1">
      <c r="A13" s="713" t="s">
        <v>35</v>
      </c>
      <c r="B13" s="714"/>
      <c r="C13" s="714"/>
      <c r="D13" s="714"/>
      <c r="E13" s="714"/>
      <c r="F13" s="714"/>
      <c r="G13" s="714"/>
      <c r="H13" s="715"/>
    </row>
    <row r="14" spans="1:8" ht="13.9" customHeight="1"/>
    <row r="15" spans="1:8">
      <c r="A15" s="12" t="s">
        <v>32</v>
      </c>
      <c r="B15" s="9" t="s">
        <v>33</v>
      </c>
      <c r="C15" s="10"/>
      <c r="D15" s="10"/>
      <c r="E15" s="10"/>
      <c r="F15" s="10"/>
      <c r="G15" s="10"/>
      <c r="H15" s="11"/>
    </row>
    <row r="16" spans="1:8">
      <c r="A16" s="13" t="s">
        <v>15</v>
      </c>
      <c r="B16" s="14" t="s">
        <v>16</v>
      </c>
      <c r="C16" s="14" t="s">
        <v>18</v>
      </c>
      <c r="D16" s="14" t="s">
        <v>17</v>
      </c>
      <c r="E16" s="14" t="s">
        <v>19</v>
      </c>
      <c r="F16" s="14" t="s">
        <v>20</v>
      </c>
      <c r="G16" s="14" t="s">
        <v>24</v>
      </c>
      <c r="H16" s="15" t="s">
        <v>21</v>
      </c>
    </row>
    <row r="17" spans="1:8">
      <c r="A17" s="24" t="s">
        <v>0</v>
      </c>
      <c r="B17" s="25" t="s">
        <v>1</v>
      </c>
      <c r="C17" s="26" t="s">
        <v>2</v>
      </c>
      <c r="D17" s="25" t="s">
        <v>22</v>
      </c>
      <c r="E17" s="25">
        <v>1</v>
      </c>
      <c r="F17" s="27">
        <f>20/60</f>
        <v>0.33333333333333331</v>
      </c>
      <c r="G17" s="28">
        <v>21.67</v>
      </c>
      <c r="H17" s="29">
        <f>ROUND(E17*F17*G17,2)</f>
        <v>7.22</v>
      </c>
    </row>
    <row r="18" spans="1:8">
      <c r="A18" s="16" t="s">
        <v>0</v>
      </c>
      <c r="B18" s="6" t="s">
        <v>5</v>
      </c>
      <c r="C18" s="5" t="s">
        <v>6</v>
      </c>
      <c r="D18" s="4" t="s">
        <v>22</v>
      </c>
      <c r="E18" s="4">
        <v>1</v>
      </c>
      <c r="F18" s="17">
        <f>20/60</f>
        <v>0.33333333333333331</v>
      </c>
      <c r="G18" s="18">
        <v>12.83</v>
      </c>
      <c r="H18" s="19">
        <f>ROUND(E18*F18*G18,2)</f>
        <v>4.28</v>
      </c>
    </row>
    <row r="19" spans="1:8">
      <c r="A19" s="16" t="s">
        <v>3</v>
      </c>
      <c r="B19" s="4" t="s">
        <v>4</v>
      </c>
      <c r="C19" s="5" t="s">
        <v>7</v>
      </c>
      <c r="D19" s="4" t="s">
        <v>23</v>
      </c>
      <c r="E19" s="4">
        <v>1</v>
      </c>
      <c r="F19" s="17">
        <v>0.3</v>
      </c>
      <c r="G19" s="18">
        <v>0</v>
      </c>
      <c r="H19" s="19">
        <f>ROUND(F19*(SUM(H17:H18)),2)</f>
        <v>3.45</v>
      </c>
    </row>
    <row r="20" spans="1:8">
      <c r="A20" s="16" t="s">
        <v>0</v>
      </c>
      <c r="B20" s="6" t="s">
        <v>8</v>
      </c>
      <c r="C20" s="5" t="s">
        <v>9</v>
      </c>
      <c r="D20" s="4" t="s">
        <v>22</v>
      </c>
      <c r="E20" s="4">
        <v>1</v>
      </c>
      <c r="F20" s="17">
        <f>20/60</f>
        <v>0.33333333333333331</v>
      </c>
      <c r="G20" s="18">
        <v>23.32</v>
      </c>
      <c r="H20" s="19">
        <f>ROUND(E20*F20*G20,2)</f>
        <v>7.77</v>
      </c>
    </row>
    <row r="21" spans="1:8">
      <c r="A21" s="16" t="s">
        <v>0</v>
      </c>
      <c r="B21" s="4" t="s">
        <v>10</v>
      </c>
      <c r="C21" s="5" t="s">
        <v>11</v>
      </c>
      <c r="D21" s="4" t="s">
        <v>22</v>
      </c>
      <c r="E21" s="4">
        <v>1</v>
      </c>
      <c r="F21" s="17">
        <f>20/60</f>
        <v>0.33333333333333331</v>
      </c>
      <c r="G21" s="18">
        <v>36.07</v>
      </c>
      <c r="H21" s="19">
        <f>ROUND(E21*F21*G21,2)</f>
        <v>12.02</v>
      </c>
    </row>
    <row r="22" spans="1:8" ht="25.5">
      <c r="A22" s="16" t="s">
        <v>12</v>
      </c>
      <c r="B22" s="4" t="s">
        <v>13</v>
      </c>
      <c r="C22" s="5" t="s">
        <v>14</v>
      </c>
      <c r="D22" s="4" t="s">
        <v>23</v>
      </c>
      <c r="E22" s="4">
        <v>1</v>
      </c>
      <c r="F22" s="17">
        <v>0.03</v>
      </c>
      <c r="G22" s="18">
        <v>0</v>
      </c>
      <c r="H22" s="19">
        <f>ROUND(F22*(SUM(H17:H21)),2)</f>
        <v>1.04</v>
      </c>
    </row>
    <row r="23" spans="1:8">
      <c r="A23" s="30" t="s">
        <v>26</v>
      </c>
      <c r="B23" s="31" t="s">
        <v>27</v>
      </c>
      <c r="C23" s="32" t="s">
        <v>28</v>
      </c>
      <c r="D23" s="31" t="s">
        <v>29</v>
      </c>
      <c r="E23" s="31">
        <v>1</v>
      </c>
      <c r="F23" s="33">
        <v>1</v>
      </c>
      <c r="G23" s="34">
        <v>59.61</v>
      </c>
      <c r="H23" s="35">
        <f>ROUND(E23*F23*G23,2)</f>
        <v>59.61</v>
      </c>
    </row>
    <row r="24" spans="1:8">
      <c r="A24" s="20"/>
      <c r="B24" s="21"/>
      <c r="C24" s="21"/>
      <c r="D24" s="21"/>
      <c r="E24" s="21"/>
      <c r="F24" s="21"/>
      <c r="G24" s="22" t="s">
        <v>31</v>
      </c>
      <c r="H24" s="23">
        <f>SUM(H17:H23)</f>
        <v>95.389999999999986</v>
      </c>
    </row>
    <row r="25" spans="1:8">
      <c r="A25" s="36" t="s">
        <v>34</v>
      </c>
      <c r="B25" s="37"/>
      <c r="C25" s="37"/>
      <c r="D25" s="37"/>
      <c r="E25" s="37"/>
      <c r="F25" s="37"/>
      <c r="G25" s="37"/>
      <c r="H25" s="38"/>
    </row>
    <row r="26" spans="1:8" ht="85.15" customHeight="1">
      <c r="A26" s="713" t="s">
        <v>36</v>
      </c>
      <c r="B26" s="714"/>
      <c r="C26" s="714"/>
      <c r="D26" s="714"/>
      <c r="E26" s="714"/>
      <c r="F26" s="714"/>
      <c r="G26" s="714"/>
      <c r="H26" s="715"/>
    </row>
  </sheetData>
  <mergeCells count="2">
    <mergeCell ref="A13:H13"/>
    <mergeCell ref="A26:H26"/>
  </mergeCells>
  <pageMargins left="0.51181102362204722" right="0.51181102362204722" top="1.55" bottom="0.78740157480314965" header="0.31496062992125984" footer="0.31496062992125984"/>
  <pageSetup paperSize="9" scale="80" orientation="landscape" r:id="rId1"/>
  <headerFooter>
    <oddHeader>&amp;C&amp;G</oddHeader>
  </headerFooter>
  <ignoredErrors>
    <ignoredError sqref="H6 H9" formula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K92"/>
  <sheetViews>
    <sheetView showGridLines="0" view="pageBreakPreview" topLeftCell="A7" zoomScale="60" workbookViewId="0">
      <selection activeCell="H70" sqref="H70"/>
    </sheetView>
  </sheetViews>
  <sheetFormatPr defaultColWidth="10.75" defaultRowHeight="12.75"/>
  <cols>
    <col min="1" max="1" width="12.75" style="3" bestFit="1" customWidth="1"/>
    <col min="2" max="2" width="12.5" style="3" customWidth="1"/>
    <col min="3" max="3" width="65.75" style="3" customWidth="1"/>
    <col min="4" max="4" width="7.75" style="3" bestFit="1" customWidth="1"/>
    <col min="5" max="5" width="10.75" style="3"/>
    <col min="6" max="6" width="11.75" style="3" bestFit="1" customWidth="1"/>
    <col min="7" max="7" width="15.25" style="3" bestFit="1" customWidth="1"/>
    <col min="8" max="8" width="13.75" style="3" bestFit="1" customWidth="1"/>
    <col min="9" max="9" width="1.75" style="3" customWidth="1"/>
    <col min="10" max="10" width="10.75" style="3"/>
    <col min="11" max="11" width="11.75" style="3" customWidth="1"/>
    <col min="12" max="13" width="10.75" style="3"/>
    <col min="14" max="14" width="82" style="3" bestFit="1" customWidth="1"/>
    <col min="15" max="16" width="10.75" style="3"/>
    <col min="17" max="17" width="11.5" style="3" bestFit="1" customWidth="1"/>
    <col min="18" max="18" width="10.75" style="3"/>
    <col min="19" max="19" width="68.5" style="3" bestFit="1" customWidth="1"/>
    <col min="20" max="16384" width="10.75" style="3"/>
  </cols>
  <sheetData>
    <row r="2" spans="1:11">
      <c r="A2" s="12" t="s">
        <v>25</v>
      </c>
      <c r="B2" s="9" t="s">
        <v>39</v>
      </c>
      <c r="C2" s="10"/>
      <c r="D2" s="10"/>
      <c r="E2" s="10"/>
      <c r="F2" s="10"/>
      <c r="G2" s="10"/>
      <c r="H2" s="11"/>
    </row>
    <row r="3" spans="1:11">
      <c r="A3" s="13" t="s">
        <v>15</v>
      </c>
      <c r="B3" s="14" t="s">
        <v>16</v>
      </c>
      <c r="C3" s="14" t="s">
        <v>18</v>
      </c>
      <c r="D3" s="14" t="s">
        <v>17</v>
      </c>
      <c r="E3" s="14" t="s">
        <v>19</v>
      </c>
      <c r="F3" s="14" t="s">
        <v>20</v>
      </c>
      <c r="G3" s="14" t="s">
        <v>24</v>
      </c>
      <c r="H3" s="15" t="s">
        <v>21</v>
      </c>
    </row>
    <row r="4" spans="1:11" ht="38.25">
      <c r="A4" s="59" t="s">
        <v>12</v>
      </c>
      <c r="B4" s="60" t="s">
        <v>37</v>
      </c>
      <c r="C4" s="61" t="s">
        <v>38</v>
      </c>
      <c r="D4" s="60" t="s">
        <v>29</v>
      </c>
      <c r="E4" s="60">
        <v>1</v>
      </c>
      <c r="F4" s="62">
        <v>91.590400000000002</v>
      </c>
      <c r="G4" s="63">
        <v>10701.51</v>
      </c>
      <c r="H4" s="64">
        <f>ROUND(E4*F4*G4,2)</f>
        <v>980155.58</v>
      </c>
    </row>
    <row r="5" spans="1:11">
      <c r="A5" s="20"/>
      <c r="B5" s="21"/>
      <c r="C5" s="21"/>
      <c r="D5" s="21"/>
      <c r="E5" s="21"/>
      <c r="F5" s="21"/>
      <c r="G5" s="22" t="s">
        <v>31</v>
      </c>
      <c r="H5" s="23">
        <f>SUM(H4:H4)</f>
        <v>980155.58</v>
      </c>
      <c r="J5" s="43">
        <f>'2. ECONOMIA DE ENERGIA'!C92</f>
        <v>7538</v>
      </c>
      <c r="K5" s="41" t="s">
        <v>45</v>
      </c>
    </row>
    <row r="6" spans="1:11">
      <c r="A6" s="36" t="s">
        <v>34</v>
      </c>
      <c r="B6" s="37"/>
      <c r="C6" s="37"/>
      <c r="D6" s="37"/>
      <c r="E6" s="37"/>
      <c r="F6" s="37"/>
      <c r="G6" s="37"/>
      <c r="H6" s="38"/>
      <c r="J6" s="40">
        <f>H5/J5</f>
        <v>130.02859909790394</v>
      </c>
      <c r="K6" s="42" t="s">
        <v>46</v>
      </c>
    </row>
    <row r="7" spans="1:11" ht="115.9" customHeight="1">
      <c r="A7" s="713" t="s">
        <v>40</v>
      </c>
      <c r="B7" s="714"/>
      <c r="C7" s="714"/>
      <c r="D7" s="714"/>
      <c r="E7" s="714"/>
      <c r="F7" s="714"/>
      <c r="G7" s="714"/>
      <c r="H7" s="715"/>
    </row>
    <row r="8" spans="1:11" ht="13.9" customHeight="1"/>
    <row r="9" spans="1:11">
      <c r="A9" s="12" t="s">
        <v>32</v>
      </c>
      <c r="B9" s="9" t="s">
        <v>41</v>
      </c>
      <c r="C9" s="10"/>
      <c r="D9" s="10"/>
      <c r="E9" s="10"/>
      <c r="F9" s="10"/>
      <c r="G9" s="10"/>
      <c r="H9" s="11"/>
    </row>
    <row r="10" spans="1:11">
      <c r="A10" s="13" t="s">
        <v>15</v>
      </c>
      <c r="B10" s="14" t="s">
        <v>16</v>
      </c>
      <c r="C10" s="14" t="s">
        <v>18</v>
      </c>
      <c r="D10" s="14" t="s">
        <v>17</v>
      </c>
      <c r="E10" s="14" t="s">
        <v>19</v>
      </c>
      <c r="F10" s="14" t="s">
        <v>20</v>
      </c>
      <c r="G10" s="14" t="s">
        <v>24</v>
      </c>
      <c r="H10" s="15" t="s">
        <v>21</v>
      </c>
    </row>
    <row r="11" spans="1:11" ht="121.15" customHeight="1">
      <c r="A11" s="59" t="s">
        <v>12</v>
      </c>
      <c r="B11" s="60" t="s">
        <v>42</v>
      </c>
      <c r="C11" s="61" t="s">
        <v>43</v>
      </c>
      <c r="D11" s="60" t="s">
        <v>44</v>
      </c>
      <c r="E11" s="60">
        <v>1</v>
      </c>
      <c r="F11" s="62">
        <v>9.85</v>
      </c>
      <c r="G11" s="63">
        <v>79514.880000000005</v>
      </c>
      <c r="H11" s="64">
        <f>ROUND(E11*F11*G11,2)</f>
        <v>783221.57</v>
      </c>
    </row>
    <row r="12" spans="1:11">
      <c r="A12" s="20"/>
      <c r="B12" s="21"/>
      <c r="C12" s="21"/>
      <c r="D12" s="21"/>
      <c r="E12" s="21"/>
      <c r="F12" s="21"/>
      <c r="G12" s="22" t="s">
        <v>31</v>
      </c>
      <c r="H12" s="23">
        <f>SUM(H11:H11)</f>
        <v>783221.57</v>
      </c>
      <c r="J12" s="43">
        <f>'2. ECONOMIA DE ENERGIA'!C92</f>
        <v>7538</v>
      </c>
      <c r="K12" s="41" t="s">
        <v>45</v>
      </c>
    </row>
    <row r="13" spans="1:11">
      <c r="A13" s="36" t="s">
        <v>34</v>
      </c>
      <c r="B13" s="37"/>
      <c r="C13" s="37"/>
      <c r="D13" s="37"/>
      <c r="E13" s="37"/>
      <c r="F13" s="37"/>
      <c r="G13" s="37"/>
      <c r="H13" s="38"/>
      <c r="J13" s="40">
        <f>H12/J12</f>
        <v>103.9031002918546</v>
      </c>
      <c r="K13" s="42" t="s">
        <v>46</v>
      </c>
    </row>
    <row r="14" spans="1:11" ht="57" customHeight="1">
      <c r="A14" s="713" t="s">
        <v>610</v>
      </c>
      <c r="B14" s="714"/>
      <c r="C14" s="714"/>
      <c r="D14" s="714"/>
      <c r="E14" s="714"/>
      <c r="F14" s="714"/>
      <c r="G14" s="714"/>
      <c r="H14" s="715"/>
    </row>
    <row r="16" spans="1:11">
      <c r="A16" s="12" t="s">
        <v>47</v>
      </c>
      <c r="B16" s="9" t="s">
        <v>69</v>
      </c>
      <c r="C16" s="10"/>
      <c r="D16" s="10"/>
      <c r="E16" s="10"/>
      <c r="F16" s="10"/>
      <c r="G16" s="10"/>
      <c r="H16" s="11"/>
    </row>
    <row r="17" spans="1:11">
      <c r="A17" s="65" t="s">
        <v>15</v>
      </c>
      <c r="B17" s="66" t="s">
        <v>16</v>
      </c>
      <c r="C17" s="66" t="s">
        <v>18</v>
      </c>
      <c r="D17" s="66" t="s">
        <v>17</v>
      </c>
      <c r="E17" s="66" t="s">
        <v>19</v>
      </c>
      <c r="F17" s="66" t="s">
        <v>20</v>
      </c>
      <c r="G17" s="66" t="s">
        <v>24</v>
      </c>
      <c r="H17" s="67" t="s">
        <v>21</v>
      </c>
    </row>
    <row r="18" spans="1:11">
      <c r="A18" s="24" t="s">
        <v>48</v>
      </c>
      <c r="B18" s="25">
        <v>88258</v>
      </c>
      <c r="C18" s="37" t="s">
        <v>49</v>
      </c>
      <c r="D18" s="44" t="s">
        <v>22</v>
      </c>
      <c r="E18" s="45">
        <v>2</v>
      </c>
      <c r="F18" s="46">
        <f>10/60*J5</f>
        <v>1256.3333333333333</v>
      </c>
      <c r="G18" s="47">
        <v>16.920000000000002</v>
      </c>
      <c r="H18" s="29">
        <f t="shared" ref="H18:H26" si="0">ROUND(E18*F18*G18,2)</f>
        <v>42514.32</v>
      </c>
    </row>
    <row r="19" spans="1:11">
      <c r="A19" s="16" t="s">
        <v>0</v>
      </c>
      <c r="B19" s="4" t="s">
        <v>50</v>
      </c>
      <c r="C19" s="5" t="s">
        <v>51</v>
      </c>
      <c r="D19" s="48" t="s">
        <v>22</v>
      </c>
      <c r="E19" s="49">
        <v>1</v>
      </c>
      <c r="F19" s="50">
        <f>2/60*J5</f>
        <v>251.26666666666665</v>
      </c>
      <c r="G19" s="51">
        <v>209.86</v>
      </c>
      <c r="H19" s="19">
        <f t="shared" si="0"/>
        <v>52730.82</v>
      </c>
    </row>
    <row r="20" spans="1:11">
      <c r="A20" s="16" t="s">
        <v>0</v>
      </c>
      <c r="B20" s="4" t="s">
        <v>52</v>
      </c>
      <c r="C20" s="5" t="s">
        <v>53</v>
      </c>
      <c r="D20" s="48" t="s">
        <v>22</v>
      </c>
      <c r="E20" s="49">
        <v>1</v>
      </c>
      <c r="F20" s="50">
        <f>5/60*J5</f>
        <v>628.16666666666663</v>
      </c>
      <c r="G20" s="51">
        <v>45.36</v>
      </c>
      <c r="H20" s="19">
        <f t="shared" si="0"/>
        <v>28493.64</v>
      </c>
    </row>
    <row r="21" spans="1:11">
      <c r="A21" s="16" t="s">
        <v>0</v>
      </c>
      <c r="B21" s="4" t="s">
        <v>54</v>
      </c>
      <c r="C21" s="5" t="s">
        <v>55</v>
      </c>
      <c r="D21" s="48" t="s">
        <v>22</v>
      </c>
      <c r="E21" s="49">
        <v>1</v>
      </c>
      <c r="F21" s="50">
        <f>5/60*J5</f>
        <v>628.16666666666663</v>
      </c>
      <c r="G21" s="51">
        <v>27.43</v>
      </c>
      <c r="H21" s="19">
        <f t="shared" si="0"/>
        <v>17230.61</v>
      </c>
    </row>
    <row r="22" spans="1:11" ht="38.25">
      <c r="A22" s="16" t="s">
        <v>12</v>
      </c>
      <c r="B22" s="4" t="s">
        <v>13</v>
      </c>
      <c r="C22" s="5" t="s">
        <v>56</v>
      </c>
      <c r="D22" s="4" t="s">
        <v>23</v>
      </c>
      <c r="E22" s="49">
        <v>1</v>
      </c>
      <c r="F22" s="50">
        <v>0.03</v>
      </c>
      <c r="G22" s="58">
        <v>0</v>
      </c>
      <c r="H22" s="19">
        <f>ROUND(F22*(SUM(H18:H21)),2)</f>
        <v>4229.08</v>
      </c>
    </row>
    <row r="23" spans="1:11">
      <c r="A23" s="16" t="s">
        <v>0</v>
      </c>
      <c r="B23" s="4" t="s">
        <v>57</v>
      </c>
      <c r="C23" s="5" t="s">
        <v>58</v>
      </c>
      <c r="D23" s="48" t="s">
        <v>29</v>
      </c>
      <c r="E23" s="49">
        <v>1</v>
      </c>
      <c r="F23" s="50">
        <f>10/60*J5</f>
        <v>1256.3333333333333</v>
      </c>
      <c r="G23" s="51">
        <v>8.24</v>
      </c>
      <c r="H23" s="19">
        <f t="shared" si="0"/>
        <v>10352.19</v>
      </c>
    </row>
    <row r="24" spans="1:11">
      <c r="A24" s="16"/>
      <c r="B24" s="4" t="s">
        <v>59</v>
      </c>
      <c r="C24" s="57" t="s">
        <v>60</v>
      </c>
      <c r="D24" s="48" t="s">
        <v>29</v>
      </c>
      <c r="E24" s="49">
        <v>1</v>
      </c>
      <c r="F24" s="50">
        <f>J5</f>
        <v>7538</v>
      </c>
      <c r="G24" s="51">
        <v>3.6</v>
      </c>
      <c r="H24" s="19">
        <f t="shared" si="0"/>
        <v>27136.799999999999</v>
      </c>
    </row>
    <row r="25" spans="1:11">
      <c r="A25" s="16"/>
      <c r="B25" s="4" t="s">
        <v>61</v>
      </c>
      <c r="C25" s="57" t="s">
        <v>62</v>
      </c>
      <c r="D25" s="48" t="s">
        <v>29</v>
      </c>
      <c r="E25" s="49">
        <v>1</v>
      </c>
      <c r="F25" s="50">
        <f>J5/80</f>
        <v>94.224999999999994</v>
      </c>
      <c r="G25" s="51">
        <v>14.99</v>
      </c>
      <c r="H25" s="19">
        <f t="shared" si="0"/>
        <v>1412.43</v>
      </c>
    </row>
    <row r="26" spans="1:11">
      <c r="A26" s="16"/>
      <c r="B26" s="4" t="s">
        <v>63</v>
      </c>
      <c r="C26" s="57" t="s">
        <v>64</v>
      </c>
      <c r="D26" s="48" t="s">
        <v>29</v>
      </c>
      <c r="E26" s="49">
        <v>2</v>
      </c>
      <c r="F26" s="50">
        <v>5</v>
      </c>
      <c r="G26" s="51">
        <v>676.73</v>
      </c>
      <c r="H26" s="19">
        <f t="shared" si="0"/>
        <v>6767.3</v>
      </c>
    </row>
    <row r="27" spans="1:11">
      <c r="A27" s="16"/>
      <c r="B27" s="4" t="s">
        <v>65</v>
      </c>
      <c r="C27" s="57" t="s">
        <v>66</v>
      </c>
      <c r="D27" s="48" t="s">
        <v>29</v>
      </c>
      <c r="E27" s="49">
        <v>2</v>
      </c>
      <c r="F27" s="50">
        <v>1</v>
      </c>
      <c r="G27" s="51">
        <v>3639.99</v>
      </c>
      <c r="H27" s="19">
        <f>ROUND(E27*F27*G27,2)</f>
        <v>7279.98</v>
      </c>
    </row>
    <row r="28" spans="1:11" ht="25.5">
      <c r="A28" s="68"/>
      <c r="B28" s="31" t="s">
        <v>67</v>
      </c>
      <c r="C28" s="32" t="s">
        <v>68</v>
      </c>
      <c r="D28" s="53" t="s">
        <v>29</v>
      </c>
      <c r="E28" s="54">
        <v>1</v>
      </c>
      <c r="F28" s="55">
        <v>1</v>
      </c>
      <c r="G28" s="56">
        <v>120000</v>
      </c>
      <c r="H28" s="35">
        <f>ROUND(E28*F28*G28,2)</f>
        <v>120000</v>
      </c>
    </row>
    <row r="29" spans="1:11">
      <c r="A29" s="20"/>
      <c r="B29" s="21"/>
      <c r="C29" s="21"/>
      <c r="D29" s="21"/>
      <c r="E29" s="21"/>
      <c r="F29" s="21"/>
      <c r="G29" s="22" t="s">
        <v>31</v>
      </c>
      <c r="H29" s="23">
        <f>SUM(H18:H28)</f>
        <v>318147.17</v>
      </c>
      <c r="J29" s="43">
        <f>'2. ECONOMIA DE ENERGIA'!C92</f>
        <v>7538</v>
      </c>
      <c r="K29" s="41" t="s">
        <v>45</v>
      </c>
    </row>
    <row r="30" spans="1:11">
      <c r="A30" s="36" t="s">
        <v>34</v>
      </c>
      <c r="B30" s="37"/>
      <c r="C30" s="37"/>
      <c r="D30" s="37"/>
      <c r="E30" s="37"/>
      <c r="F30" s="37"/>
      <c r="G30" s="37"/>
      <c r="H30" s="38"/>
      <c r="J30" s="40">
        <f>H29/J29</f>
        <v>42.205780047758026</v>
      </c>
      <c r="K30" s="42" t="s">
        <v>46</v>
      </c>
    </row>
    <row r="31" spans="1:11" ht="70.150000000000006" customHeight="1">
      <c r="A31" s="713" t="s">
        <v>611</v>
      </c>
      <c r="B31" s="714"/>
      <c r="C31" s="714"/>
      <c r="D31" s="714"/>
      <c r="E31" s="714"/>
      <c r="F31" s="714"/>
      <c r="G31" s="714"/>
      <c r="H31" s="715"/>
    </row>
    <row r="33" spans="1:8">
      <c r="A33" s="12" t="s">
        <v>93</v>
      </c>
      <c r="B33" s="9" t="s">
        <v>312</v>
      </c>
      <c r="C33" s="10"/>
      <c r="D33" s="10"/>
      <c r="E33" s="10"/>
      <c r="F33" s="10"/>
      <c r="G33" s="10"/>
      <c r="H33" s="11"/>
    </row>
    <row r="34" spans="1:8">
      <c r="A34" s="65" t="s">
        <v>15</v>
      </c>
      <c r="B34" s="66" t="s">
        <v>16</v>
      </c>
      <c r="C34" s="66" t="s">
        <v>18</v>
      </c>
      <c r="D34" s="66" t="s">
        <v>17</v>
      </c>
      <c r="E34" s="66" t="s">
        <v>19</v>
      </c>
      <c r="F34" s="66" t="s">
        <v>20</v>
      </c>
      <c r="G34" s="66" t="s">
        <v>24</v>
      </c>
      <c r="H34" s="67" t="s">
        <v>21</v>
      </c>
    </row>
    <row r="35" spans="1:8">
      <c r="A35" s="344"/>
      <c r="B35" s="349" t="s">
        <v>292</v>
      </c>
      <c r="C35" s="345"/>
      <c r="D35" s="345"/>
      <c r="E35" s="345"/>
      <c r="F35" s="345"/>
      <c r="G35" s="345"/>
      <c r="H35" s="346"/>
    </row>
    <row r="36" spans="1:8">
      <c r="A36" s="347"/>
      <c r="B36" s="338"/>
      <c r="C36" s="339" t="s">
        <v>277</v>
      </c>
      <c r="D36" s="340" t="s">
        <v>29</v>
      </c>
      <c r="E36" s="341">
        <v>1</v>
      </c>
      <c r="F36" s="342">
        <v>1</v>
      </c>
      <c r="G36" s="343">
        <f>F78</f>
        <v>40971.5</v>
      </c>
      <c r="H36" s="348">
        <f t="shared" ref="H36" si="1">ROUND(E36*F36*G36,2)</f>
        <v>40971.5</v>
      </c>
    </row>
    <row r="37" spans="1:8">
      <c r="A37" s="16"/>
      <c r="B37" s="365" t="s">
        <v>313</v>
      </c>
      <c r="C37" s="5"/>
      <c r="D37" s="48"/>
      <c r="E37" s="49"/>
      <c r="F37" s="50"/>
      <c r="G37" s="51"/>
      <c r="H37" s="19"/>
    </row>
    <row r="38" spans="1:8">
      <c r="A38" s="16"/>
      <c r="B38" s="4"/>
      <c r="C38" s="5" t="s">
        <v>296</v>
      </c>
      <c r="D38" s="48" t="s">
        <v>298</v>
      </c>
      <c r="E38" s="49">
        <v>1</v>
      </c>
      <c r="F38" s="50">
        <v>60</v>
      </c>
      <c r="G38" s="51">
        <v>2000</v>
      </c>
      <c r="H38" s="19">
        <f t="shared" ref="H38:H44" si="2">ROUND(E38*F38*G38,2)</f>
        <v>120000</v>
      </c>
    </row>
    <row r="39" spans="1:8">
      <c r="A39" s="16"/>
      <c r="B39" s="4"/>
      <c r="C39" s="5" t="s">
        <v>297</v>
      </c>
      <c r="D39" s="4" t="s">
        <v>29</v>
      </c>
      <c r="E39" s="49">
        <v>1</v>
      </c>
      <c r="F39" s="50">
        <v>60</v>
      </c>
      <c r="G39" s="51">
        <v>50</v>
      </c>
      <c r="H39" s="19">
        <f t="shared" si="2"/>
        <v>3000</v>
      </c>
    </row>
    <row r="40" spans="1:8">
      <c r="A40" s="16"/>
      <c r="B40" s="4"/>
      <c r="C40" s="5" t="s">
        <v>299</v>
      </c>
      <c r="D40" s="48" t="s">
        <v>29</v>
      </c>
      <c r="E40" s="49">
        <v>1</v>
      </c>
      <c r="F40" s="50">
        <v>60</v>
      </c>
      <c r="G40" s="51">
        <v>40</v>
      </c>
      <c r="H40" s="19">
        <f t="shared" si="2"/>
        <v>2400</v>
      </c>
    </row>
    <row r="41" spans="1:8">
      <c r="A41" s="16"/>
      <c r="B41" s="4"/>
      <c r="C41" s="57" t="s">
        <v>300</v>
      </c>
      <c r="D41" s="48" t="s">
        <v>29</v>
      </c>
      <c r="E41" s="49">
        <v>1</v>
      </c>
      <c r="F41" s="50">
        <v>60</v>
      </c>
      <c r="G41" s="51">
        <v>350</v>
      </c>
      <c r="H41" s="19">
        <f t="shared" si="2"/>
        <v>21000</v>
      </c>
    </row>
    <row r="42" spans="1:8">
      <c r="A42" s="16"/>
      <c r="B42" s="4"/>
      <c r="C42" s="57" t="s">
        <v>301</v>
      </c>
      <c r="D42" s="48" t="s">
        <v>29</v>
      </c>
      <c r="E42" s="49">
        <v>2</v>
      </c>
      <c r="F42" s="50">
        <v>60</v>
      </c>
      <c r="G42" s="51">
        <v>100</v>
      </c>
      <c r="H42" s="19">
        <f t="shared" si="2"/>
        <v>12000</v>
      </c>
    </row>
    <row r="43" spans="1:8">
      <c r="A43" s="16"/>
      <c r="B43" s="4"/>
      <c r="C43" s="57" t="s">
        <v>302</v>
      </c>
      <c r="D43" s="48" t="s">
        <v>29</v>
      </c>
      <c r="E43" s="49">
        <v>1</v>
      </c>
      <c r="F43" s="50">
        <v>60</v>
      </c>
      <c r="G43" s="51">
        <v>60</v>
      </c>
      <c r="H43" s="19">
        <f t="shared" si="2"/>
        <v>3600</v>
      </c>
    </row>
    <row r="44" spans="1:8">
      <c r="A44" s="16"/>
      <c r="B44" s="4"/>
      <c r="C44" s="57" t="s">
        <v>303</v>
      </c>
      <c r="D44" s="48" t="s">
        <v>29</v>
      </c>
      <c r="E44" s="49">
        <v>1</v>
      </c>
      <c r="F44" s="50">
        <v>60</v>
      </c>
      <c r="G44" s="51">
        <v>100</v>
      </c>
      <c r="H44" s="19">
        <f t="shared" si="2"/>
        <v>6000</v>
      </c>
    </row>
    <row r="45" spans="1:8">
      <c r="A45" s="16"/>
      <c r="B45" s="365" t="s">
        <v>304</v>
      </c>
      <c r="C45" s="57"/>
      <c r="D45" s="48"/>
      <c r="E45" s="49"/>
      <c r="F45" s="50"/>
      <c r="G45" s="51"/>
      <c r="H45" s="19"/>
    </row>
    <row r="46" spans="1:8">
      <c r="A46" s="16" t="s">
        <v>0</v>
      </c>
      <c r="B46" s="4" t="s">
        <v>253</v>
      </c>
      <c r="C46" s="57" t="s">
        <v>305</v>
      </c>
      <c r="D46" s="48" t="s">
        <v>22</v>
      </c>
      <c r="E46" s="49">
        <v>176</v>
      </c>
      <c r="F46" s="50">
        <v>53</v>
      </c>
      <c r="G46" s="51">
        <v>25.64</v>
      </c>
      <c r="H46" s="19">
        <f>ROUND(E46*F46*G46,2)</f>
        <v>239169.92000000001</v>
      </c>
    </row>
    <row r="47" spans="1:8">
      <c r="A47" s="16" t="s">
        <v>0</v>
      </c>
      <c r="B47" s="4" t="s">
        <v>1</v>
      </c>
      <c r="C47" s="57" t="s">
        <v>306</v>
      </c>
      <c r="D47" s="48" t="s">
        <v>22</v>
      </c>
      <c r="E47" s="49">
        <v>176</v>
      </c>
      <c r="F47" s="50">
        <v>53</v>
      </c>
      <c r="G47" s="51">
        <v>28.17</v>
      </c>
      <c r="H47" s="19">
        <f>ROUND(E47*F47*G47,2)</f>
        <v>262769.76</v>
      </c>
    </row>
    <row r="48" spans="1:8">
      <c r="A48" s="16" t="s">
        <v>0</v>
      </c>
      <c r="B48" s="4" t="s">
        <v>5</v>
      </c>
      <c r="C48" s="57" t="s">
        <v>307</v>
      </c>
      <c r="D48" s="48" t="s">
        <v>22</v>
      </c>
      <c r="E48" s="49">
        <v>176</v>
      </c>
      <c r="F48" s="50">
        <v>53</v>
      </c>
      <c r="G48" s="51">
        <v>16.68</v>
      </c>
      <c r="H48" s="19">
        <f>ROUND(E48*F48*G48,2)</f>
        <v>155591.04000000001</v>
      </c>
    </row>
    <row r="49" spans="1:11">
      <c r="A49" s="16" t="s">
        <v>0</v>
      </c>
      <c r="B49" s="4" t="s">
        <v>8</v>
      </c>
      <c r="C49" s="57" t="s">
        <v>308</v>
      </c>
      <c r="D49" s="48" t="s">
        <v>22</v>
      </c>
      <c r="E49" s="49">
        <v>176</v>
      </c>
      <c r="F49" s="50">
        <v>53</v>
      </c>
      <c r="G49" s="51">
        <v>23.32</v>
      </c>
      <c r="H49" s="19">
        <f>ROUND(E49*F49*G49,2)</f>
        <v>217528.95999999999</v>
      </c>
    </row>
    <row r="50" spans="1:11">
      <c r="A50" s="16" t="s">
        <v>12</v>
      </c>
      <c r="B50" s="4" t="s">
        <v>13</v>
      </c>
      <c r="C50" s="57" t="s">
        <v>311</v>
      </c>
      <c r="D50" s="48" t="s">
        <v>29</v>
      </c>
      <c r="E50" s="49">
        <f>SUM(E46:E49)</f>
        <v>704</v>
      </c>
      <c r="F50" s="50">
        <v>53</v>
      </c>
      <c r="G50" s="372">
        <f>SUM(G47:G49)*0.03</f>
        <v>2.0451000000000001</v>
      </c>
      <c r="H50" s="19">
        <f>ROUND(E50*F50*G50,2)</f>
        <v>76306.77</v>
      </c>
    </row>
    <row r="51" spans="1:11">
      <c r="A51" s="16"/>
      <c r="B51" s="365" t="s">
        <v>254</v>
      </c>
      <c r="C51" s="57"/>
      <c r="D51" s="57"/>
      <c r="E51" s="57"/>
      <c r="F51" s="57"/>
      <c r="G51" s="57"/>
      <c r="H51" s="368"/>
    </row>
    <row r="52" spans="1:11">
      <c r="A52" s="16" t="s">
        <v>0</v>
      </c>
      <c r="B52" s="4" t="s">
        <v>287</v>
      </c>
      <c r="C52" s="57" t="s">
        <v>276</v>
      </c>
      <c r="D52" s="48" t="s">
        <v>22</v>
      </c>
      <c r="E52" s="49">
        <v>176</v>
      </c>
      <c r="F52" s="50">
        <v>53</v>
      </c>
      <c r="G52" s="51">
        <v>12.44</v>
      </c>
      <c r="H52" s="19">
        <f>ROUND(E52*F52*G52,2)</f>
        <v>116040.32000000001</v>
      </c>
    </row>
    <row r="53" spans="1:11">
      <c r="A53" s="16" t="s">
        <v>0</v>
      </c>
      <c r="B53" s="4" t="s">
        <v>255</v>
      </c>
      <c r="C53" s="57" t="s">
        <v>288</v>
      </c>
      <c r="D53" s="48" t="s">
        <v>22</v>
      </c>
      <c r="E53" s="49">
        <v>176</v>
      </c>
      <c r="F53" s="50">
        <v>53</v>
      </c>
      <c r="G53" s="51">
        <v>19.850000000000001</v>
      </c>
      <c r="H53" s="19">
        <f t="shared" ref="H53:H60" si="3">ROUND(E53*F53*G53,2)</f>
        <v>185160.8</v>
      </c>
    </row>
    <row r="54" spans="1:11">
      <c r="A54" s="16" t="s">
        <v>0</v>
      </c>
      <c r="B54" s="4" t="s">
        <v>289</v>
      </c>
      <c r="C54" s="57" t="s">
        <v>290</v>
      </c>
      <c r="D54" s="48" t="s">
        <v>22</v>
      </c>
      <c r="E54" s="49">
        <v>176</v>
      </c>
      <c r="F54" s="50">
        <v>53</v>
      </c>
      <c r="G54" s="51">
        <v>25.64</v>
      </c>
      <c r="H54" s="19">
        <f t="shared" si="3"/>
        <v>239169.92000000001</v>
      </c>
    </row>
    <row r="55" spans="1:11">
      <c r="A55" s="16" t="s">
        <v>12</v>
      </c>
      <c r="B55" s="4" t="s">
        <v>13</v>
      </c>
      <c r="C55" s="57" t="s">
        <v>311</v>
      </c>
      <c r="D55" s="48" t="s">
        <v>29</v>
      </c>
      <c r="E55" s="49">
        <f>SUM(E52:E54)</f>
        <v>528</v>
      </c>
      <c r="F55" s="50">
        <v>53</v>
      </c>
      <c r="G55" s="372">
        <f>SUM(G52:G54)*0.03</f>
        <v>1.7379</v>
      </c>
      <c r="H55" s="19">
        <f t="shared" si="3"/>
        <v>48633.39</v>
      </c>
    </row>
    <row r="56" spans="1:11">
      <c r="A56" s="16"/>
      <c r="B56" s="365" t="s">
        <v>314</v>
      </c>
      <c r="C56" s="57"/>
      <c r="D56" s="48"/>
      <c r="E56" s="49"/>
      <c r="F56" s="50"/>
      <c r="G56" s="372"/>
      <c r="H56" s="19"/>
    </row>
    <row r="57" spans="1:11">
      <c r="A57" s="16" t="s">
        <v>0</v>
      </c>
      <c r="B57" s="4" t="s">
        <v>257</v>
      </c>
      <c r="C57" s="57" t="s">
        <v>258</v>
      </c>
      <c r="D57" s="48" t="s">
        <v>298</v>
      </c>
      <c r="E57" s="49">
        <v>1</v>
      </c>
      <c r="F57" s="50">
        <v>53</v>
      </c>
      <c r="G57" s="372">
        <v>1881.73</v>
      </c>
      <c r="H57" s="19">
        <f t="shared" si="3"/>
        <v>99731.69</v>
      </c>
    </row>
    <row r="58" spans="1:11">
      <c r="A58" s="16"/>
      <c r="B58" s="4"/>
      <c r="C58" s="57" t="s">
        <v>259</v>
      </c>
      <c r="D58" s="48" t="s">
        <v>298</v>
      </c>
      <c r="E58" s="49">
        <v>1</v>
      </c>
      <c r="F58" s="50">
        <v>53</v>
      </c>
      <c r="G58" s="372">
        <v>9500</v>
      </c>
      <c r="H58" s="19">
        <f t="shared" si="3"/>
        <v>503500</v>
      </c>
    </row>
    <row r="59" spans="1:11">
      <c r="A59" s="16"/>
      <c r="B59" s="365" t="s">
        <v>256</v>
      </c>
      <c r="C59" s="57"/>
      <c r="D59" s="48"/>
      <c r="E59" s="49"/>
      <c r="F59" s="50"/>
      <c r="G59" s="372"/>
      <c r="H59" s="19"/>
    </row>
    <row r="60" spans="1:11">
      <c r="A60" s="69"/>
      <c r="B60" s="31"/>
      <c r="C60" s="367" t="s">
        <v>316</v>
      </c>
      <c r="D60" s="53" t="s">
        <v>317</v>
      </c>
      <c r="E60" s="54">
        <v>1</v>
      </c>
      <c r="F60" s="55">
        <v>1</v>
      </c>
      <c r="G60" s="375">
        <f>G92</f>
        <v>285789.75853500003</v>
      </c>
      <c r="H60" s="35">
        <f t="shared" si="3"/>
        <v>285789.76</v>
      </c>
    </row>
    <row r="61" spans="1:11">
      <c r="A61" s="20"/>
      <c r="B61" s="21"/>
      <c r="C61" s="21"/>
      <c r="D61" s="21"/>
      <c r="E61" s="21"/>
      <c r="F61" s="21"/>
      <c r="G61" s="22" t="s">
        <v>31</v>
      </c>
      <c r="H61" s="23">
        <f>SUM(H36:H60)</f>
        <v>2638363.83</v>
      </c>
      <c r="J61" s="43">
        <f>'2. ECONOMIA DE ENERGIA'!C92</f>
        <v>7538</v>
      </c>
      <c r="K61" s="41" t="s">
        <v>45</v>
      </c>
    </row>
    <row r="62" spans="1:11">
      <c r="A62" s="36" t="s">
        <v>34</v>
      </c>
      <c r="B62" s="37"/>
      <c r="C62" s="37"/>
      <c r="D62" s="37"/>
      <c r="E62" s="37"/>
      <c r="F62" s="37"/>
      <c r="G62" s="37"/>
      <c r="H62" s="38"/>
      <c r="J62" s="40">
        <f>H61/J61</f>
        <v>350.00846776333248</v>
      </c>
      <c r="K62" s="42" t="s">
        <v>46</v>
      </c>
    </row>
    <row r="63" spans="1:11" ht="22.15" customHeight="1">
      <c r="A63" s="713" t="s">
        <v>612</v>
      </c>
      <c r="B63" s="714"/>
      <c r="C63" s="714"/>
      <c r="D63" s="714"/>
      <c r="E63" s="714"/>
      <c r="F63" s="714"/>
      <c r="G63" s="714"/>
      <c r="H63" s="715"/>
    </row>
    <row r="66" spans="3:6">
      <c r="C66" s="117" t="s">
        <v>277</v>
      </c>
      <c r="D66" s="350"/>
      <c r="E66" s="350"/>
      <c r="F66" s="351"/>
    </row>
    <row r="67" spans="3:6">
      <c r="C67" s="352" t="s">
        <v>269</v>
      </c>
      <c r="D67" s="353" t="s">
        <v>167</v>
      </c>
      <c r="E67" s="354" t="s">
        <v>270</v>
      </c>
      <c r="F67" s="353" t="s">
        <v>271</v>
      </c>
    </row>
    <row r="68" spans="3:6">
      <c r="C68" s="356" t="s">
        <v>272</v>
      </c>
      <c r="D68" s="37">
        <v>2</v>
      </c>
      <c r="E68" s="358">
        <v>1753.2</v>
      </c>
      <c r="F68" s="358">
        <f>D68*E68</f>
        <v>3506.4</v>
      </c>
    </row>
    <row r="69" spans="3:6">
      <c r="C69" s="359" t="s">
        <v>278</v>
      </c>
      <c r="D69" s="57">
        <v>4</v>
      </c>
      <c r="E69" s="361">
        <v>1460</v>
      </c>
      <c r="F69" s="361">
        <f t="shared" ref="F69:F72" si="4">D69*E69</f>
        <v>5840</v>
      </c>
    </row>
    <row r="70" spans="3:6">
      <c r="C70" s="359" t="s">
        <v>279</v>
      </c>
      <c r="D70" s="57">
        <v>4</v>
      </c>
      <c r="E70" s="361">
        <v>780</v>
      </c>
      <c r="F70" s="361">
        <f t="shared" si="4"/>
        <v>3120</v>
      </c>
    </row>
    <row r="71" spans="3:6">
      <c r="C71" s="359" t="s">
        <v>280</v>
      </c>
      <c r="D71" s="57">
        <v>2</v>
      </c>
      <c r="E71" s="361">
        <v>5927</v>
      </c>
      <c r="F71" s="361">
        <f t="shared" si="4"/>
        <v>11854</v>
      </c>
    </row>
    <row r="72" spans="3:6">
      <c r="C72" s="359" t="s">
        <v>281</v>
      </c>
      <c r="D72" s="57">
        <v>1</v>
      </c>
      <c r="E72" s="361">
        <v>3428.1</v>
      </c>
      <c r="F72" s="361">
        <f t="shared" si="4"/>
        <v>3428.1</v>
      </c>
    </row>
    <row r="73" spans="3:6">
      <c r="C73" s="359" t="s">
        <v>282</v>
      </c>
      <c r="D73" s="57">
        <v>1</v>
      </c>
      <c r="E73" s="361">
        <v>7107</v>
      </c>
      <c r="F73" s="361">
        <f>D73*E73</f>
        <v>7107</v>
      </c>
    </row>
    <row r="74" spans="3:6">
      <c r="C74" s="359" t="s">
        <v>283</v>
      </c>
      <c r="D74" s="57">
        <v>2</v>
      </c>
      <c r="E74" s="369">
        <v>1647</v>
      </c>
      <c r="F74" s="361">
        <f>D74*E74</f>
        <v>3294</v>
      </c>
    </row>
    <row r="75" spans="3:6">
      <c r="C75" s="359" t="s">
        <v>284</v>
      </c>
      <c r="D75" s="57">
        <v>2</v>
      </c>
      <c r="E75" s="369">
        <v>976</v>
      </c>
      <c r="F75" s="362">
        <f>D75*E75</f>
        <v>1952</v>
      </c>
    </row>
    <row r="76" spans="3:6">
      <c r="C76" s="359" t="s">
        <v>285</v>
      </c>
      <c r="D76" s="57">
        <v>1</v>
      </c>
      <c r="E76" s="361">
        <v>870</v>
      </c>
      <c r="F76" s="361">
        <f>D76*E76</f>
        <v>870</v>
      </c>
    </row>
    <row r="77" spans="3:6">
      <c r="C77" s="42" t="s">
        <v>286</v>
      </c>
      <c r="D77" s="367">
        <v>1</v>
      </c>
      <c r="E77" s="363">
        <v>2800</v>
      </c>
      <c r="F77" s="363">
        <f>D77*E77</f>
        <v>2800</v>
      </c>
    </row>
    <row r="78" spans="3:6">
      <c r="C78" s="325"/>
      <c r="D78" s="223"/>
      <c r="E78" s="370"/>
      <c r="F78" s="364">
        <f>SUM(F68:F76)</f>
        <v>40971.5</v>
      </c>
    </row>
    <row r="79" spans="3:6">
      <c r="C79" s="566"/>
      <c r="D79" s="566"/>
      <c r="E79" s="566"/>
      <c r="F79" s="366"/>
    </row>
    <row r="83" spans="3:7">
      <c r="D83" s="7" t="s">
        <v>315</v>
      </c>
    </row>
    <row r="84" spans="3:7">
      <c r="D84" s="7">
        <v>53</v>
      </c>
      <c r="E84" s="373">
        <v>5.0000000000000001E-4</v>
      </c>
      <c r="G84" s="313"/>
    </row>
    <row r="85" spans="3:7" ht="38.25">
      <c r="D85" s="374" t="s">
        <v>260</v>
      </c>
      <c r="E85" s="374" t="s">
        <v>261</v>
      </c>
      <c r="G85" s="313"/>
    </row>
    <row r="86" spans="3:7">
      <c r="C86" s="333" t="s">
        <v>262</v>
      </c>
      <c r="D86" s="259">
        <f>'2. ECONOMIA DE ENERGIA'!G60</f>
        <v>2422</v>
      </c>
      <c r="E86" s="333">
        <f>'4.a_KIT DE MATERIAIS'!H4</f>
        <v>1042.18</v>
      </c>
      <c r="F86" s="259">
        <f t="shared" ref="F86:F91" si="5">D86*$E$84*$D$84</f>
        <v>64.183000000000007</v>
      </c>
      <c r="G86" s="333">
        <f t="shared" ref="G86:G91" si="6">E86*F86</f>
        <v>66890.23894000001</v>
      </c>
    </row>
    <row r="87" spans="3:7">
      <c r="C87" s="333" t="s">
        <v>263</v>
      </c>
      <c r="D87" s="259">
        <f>'2. ECONOMIA DE ENERGIA'!G61</f>
        <v>1559</v>
      </c>
      <c r="E87" s="333">
        <f>'4.a_KIT DE MATERIAIS'!H12</f>
        <v>1093.8699999999999</v>
      </c>
      <c r="F87" s="259">
        <f t="shared" si="5"/>
        <v>41.313499999999998</v>
      </c>
      <c r="G87" s="333">
        <f t="shared" si="6"/>
        <v>45191.598244999994</v>
      </c>
    </row>
    <row r="88" spans="3:7">
      <c r="C88" s="333" t="s">
        <v>264</v>
      </c>
      <c r="D88" s="259">
        <f>'2. ECONOMIA DE ENERGIA'!G62</f>
        <v>1266</v>
      </c>
      <c r="E88" s="333">
        <f>'4.a_KIT DE MATERIAIS'!H20</f>
        <v>1580.23</v>
      </c>
      <c r="F88" s="259">
        <f t="shared" si="5"/>
        <v>33.548999999999999</v>
      </c>
      <c r="G88" s="333">
        <f t="shared" si="6"/>
        <v>53015.136270000003</v>
      </c>
    </row>
    <row r="89" spans="3:7">
      <c r="C89" s="333" t="s">
        <v>265</v>
      </c>
      <c r="D89" s="259">
        <f>'2. ECONOMIA DE ENERGIA'!G63</f>
        <v>1083</v>
      </c>
      <c r="E89" s="333">
        <f>'4.a_KIT DE MATERIAIS'!H28</f>
        <v>1631.3</v>
      </c>
      <c r="F89" s="259">
        <f t="shared" si="5"/>
        <v>28.6995</v>
      </c>
      <c r="G89" s="333">
        <f t="shared" si="6"/>
        <v>46817.494350000001</v>
      </c>
    </row>
    <row r="90" spans="3:7">
      <c r="C90" s="333" t="s">
        <v>266</v>
      </c>
      <c r="D90" s="259">
        <f>'2. ECONOMIA DE ENERGIA'!G64</f>
        <v>615</v>
      </c>
      <c r="E90" s="333">
        <f>'4.a_KIT DE MATERIAIS'!G36+'4.a_KIT DE MATERIAIS'!G40</f>
        <v>2394.0299999999997</v>
      </c>
      <c r="F90" s="259">
        <f t="shared" si="5"/>
        <v>16.297499999999999</v>
      </c>
      <c r="G90" s="333">
        <f t="shared" si="6"/>
        <v>39016.703924999994</v>
      </c>
    </row>
    <row r="91" spans="3:7">
      <c r="C91" s="332" t="s">
        <v>267</v>
      </c>
      <c r="D91" s="228">
        <f>'2. ECONOMIA DE ENERGIA'!G65</f>
        <v>469</v>
      </c>
      <c r="E91" s="332">
        <f>'4.a_KIT DE MATERIAIS'!G45+'4.a_KIT DE MATERIAIS'!G49</f>
        <v>2804.73</v>
      </c>
      <c r="F91" s="228">
        <f t="shared" si="5"/>
        <v>12.428500000000001</v>
      </c>
      <c r="G91" s="332">
        <f t="shared" si="6"/>
        <v>34858.586805000006</v>
      </c>
    </row>
    <row r="92" spans="3:7">
      <c r="C92" s="334"/>
      <c r="D92" s="334"/>
      <c r="E92" s="334"/>
      <c r="F92" s="335">
        <f>SUM(F86:F91)</f>
        <v>196.47100000000003</v>
      </c>
      <c r="G92" s="331">
        <f>SUM(G86:G91)</f>
        <v>285789.75853500003</v>
      </c>
    </row>
  </sheetData>
  <mergeCells count="4">
    <mergeCell ref="A7:H7"/>
    <mergeCell ref="A14:H14"/>
    <mergeCell ref="A31:H31"/>
    <mergeCell ref="A63:H63"/>
  </mergeCells>
  <pageMargins left="0.511811024" right="0.511811024" top="1.1100000000000001" bottom="0.78740157499999996" header="0.31496062000000002" footer="0.31496062000000002"/>
  <pageSetup paperSize="9" scale="45" orientation="portrait" r:id="rId1"/>
  <headerFooter>
    <oddHeader>&amp;C&amp;G</oddHeader>
  </headerFooter>
  <colBreaks count="1" manualBreakCount="1">
    <brk id="12" max="62" man="1"/>
  </colBreaks>
  <ignoredErrors>
    <ignoredError sqref="H22" formula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H20"/>
  <sheetViews>
    <sheetView showGridLines="0" view="pageBreakPreview" zoomScale="60" workbookViewId="0">
      <selection activeCell="J5" sqref="J5"/>
    </sheetView>
  </sheetViews>
  <sheetFormatPr defaultColWidth="10.75" defaultRowHeight="12.75"/>
  <cols>
    <col min="1" max="1" width="12.75" style="3" bestFit="1" customWidth="1"/>
    <col min="2" max="2" width="12.5" style="3" customWidth="1"/>
    <col min="3" max="3" width="65.75" style="3" customWidth="1"/>
    <col min="4" max="4" width="7.75" style="3" bestFit="1" customWidth="1"/>
    <col min="5" max="7" width="10.75" style="3"/>
    <col min="8" max="8" width="12.5" style="3" customWidth="1"/>
    <col min="9" max="16384" width="10.75" style="3"/>
  </cols>
  <sheetData>
    <row r="2" spans="1:8">
      <c r="A2" s="12" t="s">
        <v>25</v>
      </c>
      <c r="B2" s="9" t="s">
        <v>76</v>
      </c>
      <c r="C2" s="10"/>
      <c r="D2" s="10"/>
      <c r="E2" s="10"/>
      <c r="F2" s="10"/>
      <c r="G2" s="10"/>
      <c r="H2" s="11"/>
    </row>
    <row r="3" spans="1:8">
      <c r="A3" s="13" t="s">
        <v>15</v>
      </c>
      <c r="B3" s="14" t="s">
        <v>16</v>
      </c>
      <c r="C3" s="14" t="s">
        <v>18</v>
      </c>
      <c r="D3" s="14" t="s">
        <v>17</v>
      </c>
      <c r="E3" s="14" t="s">
        <v>19</v>
      </c>
      <c r="F3" s="14" t="s">
        <v>20</v>
      </c>
      <c r="G3" s="14" t="s">
        <v>24</v>
      </c>
      <c r="H3" s="15" t="s">
        <v>21</v>
      </c>
    </row>
    <row r="4" spans="1:8" ht="25.5">
      <c r="A4" s="24" t="s">
        <v>48</v>
      </c>
      <c r="B4" s="25">
        <v>5908</v>
      </c>
      <c r="C4" s="26" t="s">
        <v>72</v>
      </c>
      <c r="D4" s="25" t="s">
        <v>70</v>
      </c>
      <c r="E4" s="25">
        <v>1</v>
      </c>
      <c r="F4" s="27">
        <f>15/60/2</f>
        <v>0.125</v>
      </c>
      <c r="G4" s="28">
        <v>170.02</v>
      </c>
      <c r="H4" s="29">
        <f>ROUND(E4*F4*G4,2)</f>
        <v>21.25</v>
      </c>
    </row>
    <row r="5" spans="1:8" ht="25.5">
      <c r="A5" s="16" t="s">
        <v>48</v>
      </c>
      <c r="B5" s="6">
        <v>5930</v>
      </c>
      <c r="C5" s="5" t="s">
        <v>73</v>
      </c>
      <c r="D5" s="4" t="s">
        <v>71</v>
      </c>
      <c r="E5" s="4">
        <v>1</v>
      </c>
      <c r="F5" s="17">
        <f>15/60/2</f>
        <v>0.125</v>
      </c>
      <c r="G5" s="18">
        <v>46.01</v>
      </c>
      <c r="H5" s="19">
        <f>ROUND(E5*F5*G5,2)</f>
        <v>5.75</v>
      </c>
    </row>
    <row r="6" spans="1:8">
      <c r="A6" s="16" t="s">
        <v>48</v>
      </c>
      <c r="B6" s="4">
        <v>92145</v>
      </c>
      <c r="C6" s="5" t="s">
        <v>74</v>
      </c>
      <c r="D6" s="4" t="s">
        <v>70</v>
      </c>
      <c r="E6" s="4">
        <v>1</v>
      </c>
      <c r="F6" s="17">
        <f t="shared" ref="F6:F7" si="0">15/60/2</f>
        <v>0.125</v>
      </c>
      <c r="G6" s="18">
        <v>67.37</v>
      </c>
      <c r="H6" s="19">
        <f>ROUND(E6*F6*G6,2)</f>
        <v>8.42</v>
      </c>
    </row>
    <row r="7" spans="1:8">
      <c r="A7" s="69" t="s">
        <v>48</v>
      </c>
      <c r="B7" s="70">
        <v>92146</v>
      </c>
      <c r="C7" s="32" t="s">
        <v>75</v>
      </c>
      <c r="D7" s="31" t="s">
        <v>71</v>
      </c>
      <c r="E7" s="31">
        <v>1</v>
      </c>
      <c r="F7" s="33">
        <f t="shared" si="0"/>
        <v>0.125</v>
      </c>
      <c r="G7" s="34">
        <v>29.93</v>
      </c>
      <c r="H7" s="35">
        <f>ROUND(E7*F7*G7,2)</f>
        <v>3.74</v>
      </c>
    </row>
    <row r="8" spans="1:8">
      <c r="A8" s="20"/>
      <c r="B8" s="21"/>
      <c r="C8" s="21"/>
      <c r="D8" s="21"/>
      <c r="E8" s="21"/>
      <c r="F8" s="21"/>
      <c r="G8" s="22" t="s">
        <v>31</v>
      </c>
      <c r="H8" s="23">
        <f>SUM(H4:H7)</f>
        <v>39.160000000000004</v>
      </c>
    </row>
    <row r="9" spans="1:8">
      <c r="A9" s="36" t="s">
        <v>34</v>
      </c>
      <c r="B9" s="37"/>
      <c r="C9" s="37"/>
      <c r="D9" s="37"/>
      <c r="E9" s="37"/>
      <c r="F9" s="37"/>
      <c r="G9" s="37"/>
      <c r="H9" s="38"/>
    </row>
    <row r="10" spans="1:8" ht="52.9" customHeight="1">
      <c r="A10" s="713" t="s">
        <v>78</v>
      </c>
      <c r="B10" s="714"/>
      <c r="C10" s="714"/>
      <c r="D10" s="714"/>
      <c r="E10" s="714"/>
      <c r="F10" s="714"/>
      <c r="G10" s="714"/>
      <c r="H10" s="715"/>
    </row>
    <row r="11" spans="1:8" ht="13.9" customHeight="1"/>
    <row r="12" spans="1:8">
      <c r="A12" s="12" t="s">
        <v>32</v>
      </c>
      <c r="B12" s="9" t="s">
        <v>77</v>
      </c>
      <c r="C12" s="10"/>
      <c r="D12" s="10"/>
      <c r="E12" s="10"/>
      <c r="F12" s="10"/>
      <c r="G12" s="10"/>
      <c r="H12" s="11"/>
    </row>
    <row r="13" spans="1:8">
      <c r="A13" s="13" t="s">
        <v>15</v>
      </c>
      <c r="B13" s="14" t="s">
        <v>16</v>
      </c>
      <c r="C13" s="14" t="s">
        <v>18</v>
      </c>
      <c r="D13" s="14" t="s">
        <v>17</v>
      </c>
      <c r="E13" s="14" t="s">
        <v>19</v>
      </c>
      <c r="F13" s="14" t="s">
        <v>20</v>
      </c>
      <c r="G13" s="14" t="s">
        <v>24</v>
      </c>
      <c r="H13" s="15" t="s">
        <v>21</v>
      </c>
    </row>
    <row r="14" spans="1:8" ht="25.5">
      <c r="A14" s="24" t="s">
        <v>48</v>
      </c>
      <c r="B14" s="25">
        <v>5908</v>
      </c>
      <c r="C14" s="26" t="s">
        <v>72</v>
      </c>
      <c r="D14" s="25" t="s">
        <v>70</v>
      </c>
      <c r="E14" s="25">
        <v>1</v>
      </c>
      <c r="F14" s="27">
        <f>20/60/2</f>
        <v>0.16666666666666666</v>
      </c>
      <c r="G14" s="28">
        <v>170.02</v>
      </c>
      <c r="H14" s="29">
        <f>ROUND(E14*F14*G14,2)</f>
        <v>28.34</v>
      </c>
    </row>
    <row r="15" spans="1:8" ht="25.5">
      <c r="A15" s="16" t="s">
        <v>48</v>
      </c>
      <c r="B15" s="6">
        <v>5930</v>
      </c>
      <c r="C15" s="5" t="s">
        <v>73</v>
      </c>
      <c r="D15" s="4" t="s">
        <v>71</v>
      </c>
      <c r="E15" s="4">
        <v>1</v>
      </c>
      <c r="F15" s="17">
        <f>20/60/2</f>
        <v>0.16666666666666666</v>
      </c>
      <c r="G15" s="18">
        <v>46.01</v>
      </c>
      <c r="H15" s="19">
        <f>ROUND(E15*F15*G15,2)</f>
        <v>7.67</v>
      </c>
    </row>
    <row r="16" spans="1:8">
      <c r="A16" s="16" t="s">
        <v>48</v>
      </c>
      <c r="B16" s="4">
        <v>92145</v>
      </c>
      <c r="C16" s="5" t="s">
        <v>74</v>
      </c>
      <c r="D16" s="4" t="s">
        <v>70</v>
      </c>
      <c r="E16" s="4">
        <v>1</v>
      </c>
      <c r="F16" s="17">
        <f>20/60/2</f>
        <v>0.16666666666666666</v>
      </c>
      <c r="G16" s="18">
        <v>67.37</v>
      </c>
      <c r="H16" s="19">
        <f>ROUND(E16*F16*G16,2)</f>
        <v>11.23</v>
      </c>
    </row>
    <row r="17" spans="1:8">
      <c r="A17" s="69" t="s">
        <v>48</v>
      </c>
      <c r="B17" s="70">
        <v>92146</v>
      </c>
      <c r="C17" s="32" t="s">
        <v>75</v>
      </c>
      <c r="D17" s="31" t="s">
        <v>71</v>
      </c>
      <c r="E17" s="31">
        <v>1</v>
      </c>
      <c r="F17" s="33">
        <f>20/60/2</f>
        <v>0.16666666666666666</v>
      </c>
      <c r="G17" s="34">
        <v>29.93</v>
      </c>
      <c r="H17" s="35">
        <f>ROUND(E17*F17*G17,2)</f>
        <v>4.99</v>
      </c>
    </row>
    <row r="18" spans="1:8">
      <c r="A18" s="20"/>
      <c r="B18" s="21"/>
      <c r="C18" s="21"/>
      <c r="D18" s="21"/>
      <c r="E18" s="21"/>
      <c r="F18" s="21"/>
      <c r="G18" s="22" t="s">
        <v>31</v>
      </c>
      <c r="H18" s="23">
        <f>SUM(H14:H17)</f>
        <v>52.23</v>
      </c>
    </row>
    <row r="19" spans="1:8">
      <c r="A19" s="36" t="s">
        <v>34</v>
      </c>
      <c r="B19" s="37"/>
      <c r="C19" s="37"/>
      <c r="D19" s="37"/>
      <c r="E19" s="37"/>
      <c r="F19" s="37"/>
      <c r="G19" s="37"/>
      <c r="H19" s="38"/>
    </row>
    <row r="20" spans="1:8" ht="51" customHeight="1">
      <c r="A20" s="713" t="s">
        <v>79</v>
      </c>
      <c r="B20" s="714"/>
      <c r="C20" s="714"/>
      <c r="D20" s="714"/>
      <c r="E20" s="714"/>
      <c r="F20" s="714"/>
      <c r="G20" s="714"/>
      <c r="H20" s="715"/>
    </row>
  </sheetData>
  <mergeCells count="2">
    <mergeCell ref="A10:H10"/>
    <mergeCell ref="A20:H20"/>
  </mergeCells>
  <pageMargins left="0.51181102362204722" right="0.51181102362204722" top="1.3385826771653544" bottom="0.78740157480314965" header="0.31496062992125984" footer="0.31496062992125984"/>
  <pageSetup paperSize="9" scale="80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BL75"/>
  <sheetViews>
    <sheetView showGridLines="0" view="pageBreakPreview" topLeftCell="A19" zoomScale="50" zoomScaleNormal="94" zoomScaleSheetLayoutView="50" workbookViewId="0">
      <selection activeCell="X10" sqref="X10"/>
    </sheetView>
  </sheetViews>
  <sheetFormatPr defaultColWidth="10.75" defaultRowHeight="15"/>
  <cols>
    <col min="1" max="1" width="10.75" style="376"/>
    <col min="2" max="2" width="35.25" style="376" customWidth="1"/>
    <col min="3" max="3" width="18" style="376" customWidth="1"/>
    <col min="4" max="4" width="16.25" style="376" bestFit="1" customWidth="1"/>
    <col min="5" max="5" width="16" style="376" bestFit="1" customWidth="1"/>
    <col min="6" max="14" width="15.5" style="376" bestFit="1" customWidth="1"/>
    <col min="15" max="18" width="15.25" style="376" bestFit="1" customWidth="1"/>
    <col min="19" max="64" width="13.75" style="376" customWidth="1"/>
    <col min="65" max="16384" width="10.75" style="376"/>
  </cols>
  <sheetData>
    <row r="2" spans="2:64">
      <c r="B2" s="392" t="s">
        <v>342</v>
      </c>
    </row>
    <row r="3" spans="2:64">
      <c r="F3" s="393"/>
      <c r="G3" s="393"/>
      <c r="H3" s="393"/>
      <c r="J3" s="716" t="s">
        <v>343</v>
      </c>
      <c r="K3" s="717"/>
      <c r="L3" s="717"/>
      <c r="M3" s="717"/>
      <c r="N3" s="717"/>
      <c r="O3" s="681"/>
      <c r="P3" s="678"/>
      <c r="Q3" s="678"/>
      <c r="R3" s="678"/>
      <c r="S3" s="678"/>
      <c r="T3" s="678"/>
      <c r="U3" s="678"/>
      <c r="V3" s="678"/>
    </row>
    <row r="4" spans="2:64">
      <c r="B4" s="394" t="s">
        <v>344</v>
      </c>
      <c r="C4" s="395" t="s">
        <v>345</v>
      </c>
      <c r="D4" s="396"/>
      <c r="E4" s="720"/>
      <c r="F4" s="720"/>
      <c r="G4" s="720"/>
      <c r="H4" s="396"/>
      <c r="I4" s="397"/>
      <c r="J4" s="398" t="s">
        <v>346</v>
      </c>
      <c r="K4" s="398" t="s">
        <v>347</v>
      </c>
      <c r="L4" s="398" t="s">
        <v>348</v>
      </c>
      <c r="M4" s="398" t="s">
        <v>349</v>
      </c>
      <c r="N4" s="674" t="s">
        <v>350</v>
      </c>
      <c r="O4" s="682"/>
      <c r="P4" s="679"/>
      <c r="Q4" s="679"/>
      <c r="R4" s="679"/>
      <c r="S4" s="679"/>
      <c r="T4" s="679"/>
      <c r="U4" s="679"/>
      <c r="V4" s="679"/>
    </row>
    <row r="5" spans="2:64">
      <c r="B5" s="282" t="s">
        <v>449</v>
      </c>
      <c r="C5" s="401">
        <f>'3. INVESTIMENTO GLOBAL'!I6</f>
        <v>2395.8932580068358</v>
      </c>
      <c r="E5" s="449"/>
      <c r="F5" s="449"/>
      <c r="G5" s="450"/>
      <c r="H5" s="402"/>
      <c r="I5" s="397"/>
      <c r="J5" s="403">
        <f>$C5/57</f>
        <v>42.033215052751508</v>
      </c>
      <c r="K5" s="403">
        <f>$C5/56</f>
        <v>42.783808178693498</v>
      </c>
      <c r="L5" s="403">
        <f>$C5/55</f>
        <v>43.561695600124288</v>
      </c>
      <c r="M5" s="403">
        <f>$C5/54</f>
        <v>44.368393666793253</v>
      </c>
      <c r="N5" s="675">
        <f>$C5/53</f>
        <v>45.205533169940296</v>
      </c>
      <c r="O5" s="675"/>
      <c r="P5" s="680"/>
      <c r="Q5" s="680"/>
      <c r="R5" s="680"/>
      <c r="S5" s="680"/>
      <c r="T5" s="680"/>
      <c r="U5" s="680"/>
      <c r="V5" s="680"/>
    </row>
    <row r="6" spans="2:64">
      <c r="B6" s="447" t="s">
        <v>450</v>
      </c>
      <c r="C6" s="403">
        <f>'3. INVESTIMENTO GLOBAL'!I7</f>
        <v>2460.8650256940214</v>
      </c>
      <c r="E6" s="449"/>
      <c r="F6" s="449"/>
      <c r="G6" s="450"/>
      <c r="H6" s="402"/>
      <c r="I6" s="406"/>
      <c r="J6" s="403">
        <f>$C6/57</f>
        <v>43.173070626210901</v>
      </c>
      <c r="K6" s="403">
        <f t="shared" ref="K6:K13" si="0">$C6/56</f>
        <v>43.944018315964669</v>
      </c>
      <c r="L6" s="403">
        <f t="shared" ref="L6:L13" si="1">$C6/55</f>
        <v>44.743000467164023</v>
      </c>
      <c r="M6" s="403">
        <f t="shared" ref="M6:M13" si="2">$C6/54</f>
        <v>45.571574549889284</v>
      </c>
      <c r="N6" s="675">
        <f t="shared" ref="N6:N13" si="3">$C6/53</f>
        <v>46.431415579132477</v>
      </c>
      <c r="O6" s="675"/>
      <c r="P6" s="680"/>
      <c r="Q6" s="680"/>
      <c r="R6" s="680"/>
      <c r="S6" s="680"/>
      <c r="T6" s="680"/>
      <c r="U6" s="680"/>
      <c r="V6" s="680"/>
    </row>
    <row r="7" spans="2:64">
      <c r="B7" s="447" t="s">
        <v>451</v>
      </c>
      <c r="C7" s="403">
        <f>'3. INVESTIMENTO GLOBAL'!I8</f>
        <v>3072.1954364570247</v>
      </c>
      <c r="E7" s="449"/>
      <c r="F7" s="449"/>
      <c r="G7" s="450"/>
      <c r="H7" s="402"/>
      <c r="I7" s="406"/>
      <c r="J7" s="403">
        <f t="shared" ref="J7:J10" si="4">$C7/57</f>
        <v>53.898165551877625</v>
      </c>
      <c r="K7" s="403">
        <f t="shared" si="0"/>
        <v>54.860632793875439</v>
      </c>
      <c r="L7" s="403">
        <f t="shared" si="1"/>
        <v>55.858098844673179</v>
      </c>
      <c r="M7" s="403">
        <f t="shared" si="2"/>
        <v>56.892508082537496</v>
      </c>
      <c r="N7" s="675">
        <f t="shared" si="3"/>
        <v>57.965951631264616</v>
      </c>
      <c r="O7" s="675"/>
      <c r="P7" s="680"/>
      <c r="Q7" s="680"/>
      <c r="R7" s="680"/>
      <c r="S7" s="680"/>
      <c r="T7" s="680"/>
      <c r="U7" s="680"/>
      <c r="V7" s="680"/>
    </row>
    <row r="8" spans="2:64">
      <c r="B8" s="447" t="s">
        <v>452</v>
      </c>
      <c r="C8" s="403">
        <f>'3. INVESTIMENTO GLOBAL'!I9</f>
        <v>3136.3878948780844</v>
      </c>
      <c r="E8" s="449"/>
      <c r="F8" s="449"/>
      <c r="G8" s="450"/>
      <c r="H8" s="402"/>
      <c r="I8" s="407"/>
      <c r="J8" s="403">
        <f t="shared" si="4"/>
        <v>55.024349032948848</v>
      </c>
      <c r="K8" s="403">
        <f t="shared" si="0"/>
        <v>56.006926694251504</v>
      </c>
      <c r="L8" s="403">
        <f t="shared" si="1"/>
        <v>57.025234452328803</v>
      </c>
      <c r="M8" s="403">
        <f t="shared" si="2"/>
        <v>58.081257312557121</v>
      </c>
      <c r="N8" s="675">
        <f t="shared" si="3"/>
        <v>59.177130092039327</v>
      </c>
      <c r="O8" s="675"/>
      <c r="P8" s="680"/>
      <c r="Q8" s="680"/>
      <c r="R8" s="680"/>
      <c r="S8" s="680"/>
      <c r="T8" s="680"/>
      <c r="U8" s="680"/>
      <c r="V8" s="680"/>
    </row>
    <row r="9" spans="2:64">
      <c r="B9" s="447" t="s">
        <v>453</v>
      </c>
      <c r="C9" s="403">
        <f>'3. INVESTIMENTO GLOBAL'!I10</f>
        <v>4062.810639241854</v>
      </c>
      <c r="E9" s="449"/>
      <c r="F9" s="449"/>
      <c r="G9" s="450"/>
      <c r="H9" s="402"/>
      <c r="I9" s="397"/>
      <c r="J9" s="403">
        <f t="shared" si="4"/>
        <v>71.277379635822001</v>
      </c>
      <c r="K9" s="403">
        <f t="shared" si="0"/>
        <v>72.550189986461675</v>
      </c>
      <c r="L9" s="403">
        <f t="shared" si="1"/>
        <v>73.869284349851895</v>
      </c>
      <c r="M9" s="403">
        <f t="shared" si="2"/>
        <v>75.237234060034339</v>
      </c>
      <c r="N9" s="675">
        <f t="shared" si="3"/>
        <v>76.656804513997244</v>
      </c>
      <c r="O9" s="675"/>
      <c r="P9" s="680"/>
      <c r="Q9" s="680"/>
      <c r="R9" s="680"/>
      <c r="S9" s="680"/>
      <c r="T9" s="680"/>
      <c r="U9" s="680"/>
      <c r="V9" s="680"/>
    </row>
    <row r="10" spans="2:64">
      <c r="B10" s="447" t="s">
        <v>454</v>
      </c>
      <c r="C10" s="403">
        <f>'3. INVESTIMENTO GLOBAL'!I11</f>
        <v>4579.0401805288948</v>
      </c>
      <c r="E10" s="449"/>
      <c r="F10" s="449"/>
      <c r="G10" s="450"/>
      <c r="H10" s="402"/>
      <c r="I10" s="397"/>
      <c r="J10" s="403">
        <f t="shared" si="4"/>
        <v>80.334038254892889</v>
      </c>
      <c r="K10" s="403">
        <f t="shared" si="0"/>
        <v>81.768574652301695</v>
      </c>
      <c r="L10" s="403">
        <f t="shared" si="1"/>
        <v>83.255276009616267</v>
      </c>
      <c r="M10" s="403">
        <f t="shared" si="2"/>
        <v>84.797040380164717</v>
      </c>
      <c r="N10" s="675">
        <f t="shared" si="3"/>
        <v>86.396984538281032</v>
      </c>
      <c r="O10" s="675"/>
      <c r="P10" s="680"/>
      <c r="Q10" s="680"/>
      <c r="R10" s="680"/>
      <c r="S10" s="680"/>
      <c r="T10" s="680"/>
      <c r="U10" s="680"/>
      <c r="V10" s="680"/>
    </row>
    <row r="11" spans="2:64">
      <c r="B11" s="447" t="s">
        <v>351</v>
      </c>
      <c r="C11" s="403">
        <f>'3. INVESTIMENTO GLOBAL'!I12</f>
        <v>755.33922144051974</v>
      </c>
      <c r="E11" s="449"/>
      <c r="F11" s="449"/>
      <c r="G11" s="450"/>
      <c r="H11" s="402"/>
      <c r="I11" s="407"/>
      <c r="J11" s="448">
        <f>ROUNDDOWN($C11/57,2)</f>
        <v>13.25</v>
      </c>
      <c r="K11" s="448">
        <f>ROUNDDOWN($C11/56,2)</f>
        <v>13.48</v>
      </c>
      <c r="L11" s="448">
        <f t="shared" si="1"/>
        <v>13.733440389827631</v>
      </c>
      <c r="M11" s="448">
        <f t="shared" si="2"/>
        <v>13.987763360009625</v>
      </c>
      <c r="N11" s="676">
        <f t="shared" si="3"/>
        <v>14.251683423406032</v>
      </c>
      <c r="O11" s="675"/>
      <c r="P11" s="680"/>
      <c r="Q11" s="680"/>
      <c r="R11" s="680"/>
      <c r="S11" s="680"/>
      <c r="T11" s="680"/>
      <c r="U11" s="680"/>
      <c r="V11" s="680"/>
    </row>
    <row r="12" spans="2:64">
      <c r="B12" s="447" t="s">
        <v>291</v>
      </c>
      <c r="C12" s="403">
        <f>'3. INVESTIMENTO GLOBAL'!I13</f>
        <v>924.10995557397689</v>
      </c>
      <c r="E12" s="449"/>
      <c r="F12" s="449"/>
      <c r="G12" s="450"/>
      <c r="H12" s="402"/>
      <c r="I12" s="397"/>
      <c r="J12" s="448">
        <f>ROUND($C12/57,2)</f>
        <v>16.21</v>
      </c>
      <c r="K12" s="448">
        <f>ROUND($C12/56,2)</f>
        <v>16.5</v>
      </c>
      <c r="L12" s="448">
        <f>ROUNDDOWN($C12/55,2)</f>
        <v>16.8</v>
      </c>
      <c r="M12" s="448">
        <f t="shared" si="2"/>
        <v>17.113147325444018</v>
      </c>
      <c r="N12" s="676">
        <f t="shared" si="3"/>
        <v>17.436036897622206</v>
      </c>
      <c r="O12" s="675"/>
      <c r="P12" s="680"/>
      <c r="Q12" s="680"/>
      <c r="R12" s="680"/>
      <c r="S12" s="680"/>
      <c r="T12" s="680"/>
      <c r="U12" s="680"/>
      <c r="V12" s="680"/>
    </row>
    <row r="13" spans="2:64">
      <c r="B13" s="291" t="s">
        <v>352</v>
      </c>
      <c r="C13" s="409">
        <f>'3. INVESTIMENTO GLOBAL'!I14</f>
        <v>507.78283440257786</v>
      </c>
      <c r="E13" s="449"/>
      <c r="F13" s="449"/>
      <c r="G13" s="450"/>
      <c r="H13" s="402"/>
      <c r="I13" s="397"/>
      <c r="J13" s="409">
        <f>ROUNDDOWN($C13/57,2)</f>
        <v>8.9</v>
      </c>
      <c r="K13" s="409">
        <f t="shared" si="0"/>
        <v>9.067550614331747</v>
      </c>
      <c r="L13" s="409">
        <f t="shared" si="1"/>
        <v>9.2324151709559619</v>
      </c>
      <c r="M13" s="409">
        <f t="shared" si="2"/>
        <v>9.4033858222699607</v>
      </c>
      <c r="N13" s="677">
        <f t="shared" si="3"/>
        <v>9.5808081962750542</v>
      </c>
      <c r="O13" s="675"/>
      <c r="P13" s="680"/>
      <c r="Q13" s="680"/>
      <c r="R13" s="680"/>
      <c r="S13" s="680"/>
      <c r="T13" s="680"/>
      <c r="U13" s="680"/>
      <c r="V13" s="680"/>
    </row>
    <row r="14" spans="2:64">
      <c r="F14" s="393"/>
      <c r="G14" s="393"/>
      <c r="H14" s="393"/>
    </row>
    <row r="16" spans="2:64">
      <c r="C16" s="411" t="s">
        <v>131</v>
      </c>
      <c r="D16" s="411" t="s">
        <v>353</v>
      </c>
      <c r="E16" s="411" t="s">
        <v>354</v>
      </c>
      <c r="F16" s="411" t="s">
        <v>355</v>
      </c>
      <c r="G16" s="411" t="s">
        <v>356</v>
      </c>
      <c r="H16" s="411" t="s">
        <v>357</v>
      </c>
      <c r="I16" s="411" t="s">
        <v>358</v>
      </c>
      <c r="J16" s="411" t="s">
        <v>359</v>
      </c>
      <c r="K16" s="412" t="s">
        <v>360</v>
      </c>
      <c r="L16" s="411" t="s">
        <v>361</v>
      </c>
      <c r="M16" s="411" t="s">
        <v>362</v>
      </c>
      <c r="N16" s="411" t="s">
        <v>363</v>
      </c>
      <c r="O16" s="411" t="s">
        <v>364</v>
      </c>
      <c r="P16" s="411" t="s">
        <v>365</v>
      </c>
      <c r="Q16" s="411" t="s">
        <v>366</v>
      </c>
      <c r="R16" s="411" t="s">
        <v>367</v>
      </c>
      <c r="S16" s="411" t="s">
        <v>368</v>
      </c>
      <c r="T16" s="411" t="s">
        <v>369</v>
      </c>
      <c r="U16" s="411" t="s">
        <v>370</v>
      </c>
      <c r="V16" s="411" t="s">
        <v>371</v>
      </c>
      <c r="W16" s="411" t="s">
        <v>372</v>
      </c>
      <c r="X16" s="411" t="s">
        <v>373</v>
      </c>
      <c r="Y16" s="411" t="s">
        <v>374</v>
      </c>
      <c r="Z16" s="411" t="s">
        <v>375</v>
      </c>
      <c r="AA16" s="411" t="s">
        <v>376</v>
      </c>
      <c r="AB16" s="411" t="s">
        <v>377</v>
      </c>
      <c r="AC16" s="411" t="s">
        <v>378</v>
      </c>
      <c r="AD16" s="411" t="s">
        <v>379</v>
      </c>
      <c r="AE16" s="411" t="s">
        <v>380</v>
      </c>
      <c r="AF16" s="411" t="s">
        <v>381</v>
      </c>
      <c r="AG16" s="411" t="s">
        <v>382</v>
      </c>
      <c r="AH16" s="411" t="s">
        <v>383</v>
      </c>
      <c r="AI16" s="411" t="s">
        <v>384</v>
      </c>
      <c r="AJ16" s="411" t="s">
        <v>385</v>
      </c>
      <c r="AK16" s="411" t="s">
        <v>386</v>
      </c>
      <c r="AL16" s="411" t="s">
        <v>387</v>
      </c>
      <c r="AM16" s="411" t="s">
        <v>388</v>
      </c>
      <c r="AN16" s="411" t="s">
        <v>389</v>
      </c>
      <c r="AO16" s="411" t="s">
        <v>390</v>
      </c>
      <c r="AP16" s="411" t="s">
        <v>391</v>
      </c>
      <c r="AQ16" s="411" t="s">
        <v>392</v>
      </c>
      <c r="AR16" s="411" t="s">
        <v>393</v>
      </c>
      <c r="AS16" s="411" t="s">
        <v>394</v>
      </c>
      <c r="AT16" s="411" t="s">
        <v>395</v>
      </c>
      <c r="AU16" s="411" t="s">
        <v>396</v>
      </c>
      <c r="AV16" s="411" t="s">
        <v>397</v>
      </c>
      <c r="AW16" s="411" t="s">
        <v>398</v>
      </c>
      <c r="AX16" s="411" t="s">
        <v>399</v>
      </c>
      <c r="AY16" s="411" t="s">
        <v>400</v>
      </c>
      <c r="AZ16" s="411" t="s">
        <v>401</v>
      </c>
      <c r="BA16" s="411" t="s">
        <v>402</v>
      </c>
      <c r="BB16" s="411" t="s">
        <v>403</v>
      </c>
      <c r="BC16" s="411" t="s">
        <v>404</v>
      </c>
      <c r="BD16" s="411" t="s">
        <v>405</v>
      </c>
      <c r="BE16" s="411" t="s">
        <v>406</v>
      </c>
      <c r="BF16" s="411" t="s">
        <v>407</v>
      </c>
      <c r="BG16" s="411" t="s">
        <v>408</v>
      </c>
      <c r="BH16" s="411" t="s">
        <v>409</v>
      </c>
      <c r="BI16" s="411" t="s">
        <v>410</v>
      </c>
      <c r="BJ16" s="411" t="s">
        <v>411</v>
      </c>
      <c r="BK16" s="411" t="s">
        <v>412</v>
      </c>
      <c r="BL16" s="413"/>
    </row>
    <row r="17" spans="1:64">
      <c r="B17" s="414" t="s">
        <v>413</v>
      </c>
      <c r="C17" s="415"/>
      <c r="D17" s="416">
        <v>1</v>
      </c>
      <c r="E17" s="417">
        <v>1</v>
      </c>
      <c r="F17" s="416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418"/>
      <c r="AK17" s="418"/>
      <c r="AL17" s="418"/>
      <c r="AM17" s="418"/>
      <c r="AN17" s="418"/>
      <c r="AO17" s="418"/>
      <c r="AP17" s="418"/>
      <c r="AQ17" s="418"/>
      <c r="AR17" s="418"/>
      <c r="AS17" s="418"/>
      <c r="AT17" s="418"/>
      <c r="AU17" s="418"/>
      <c r="AV17" s="418"/>
      <c r="AW17" s="418"/>
      <c r="AX17" s="418"/>
      <c r="AY17" s="418"/>
      <c r="AZ17" s="418"/>
      <c r="BA17" s="418"/>
      <c r="BB17" s="418"/>
      <c r="BC17" s="418"/>
      <c r="BD17" s="418"/>
      <c r="BE17" s="418"/>
      <c r="BF17" s="418"/>
      <c r="BG17" s="418"/>
      <c r="BH17" s="418"/>
      <c r="BI17" s="418"/>
      <c r="BJ17" s="418"/>
      <c r="BK17" s="418"/>
    </row>
    <row r="18" spans="1:64" ht="16.149999999999999" customHeight="1">
      <c r="A18" s="419">
        <f>40+1.5</f>
        <v>41.5</v>
      </c>
      <c r="B18" s="420" t="s">
        <v>414</v>
      </c>
      <c r="C18" s="421">
        <f>'3. INVESTIMENTO GLOBAL'!D6</f>
        <v>2422</v>
      </c>
      <c r="D18" s="721" t="s">
        <v>415</v>
      </c>
      <c r="E18" s="722"/>
      <c r="F18" s="422">
        <v>0</v>
      </c>
      <c r="G18" s="422">
        <v>0</v>
      </c>
      <c r="H18" s="422">
        <v>0</v>
      </c>
      <c r="I18" s="422">
        <v>1000</v>
      </c>
      <c r="J18" s="422">
        <v>1422</v>
      </c>
      <c r="K18" s="422">
        <v>0</v>
      </c>
      <c r="L18" s="422">
        <v>0</v>
      </c>
      <c r="M18" s="422">
        <v>0</v>
      </c>
      <c r="N18" s="422">
        <v>0</v>
      </c>
      <c r="O18" s="422">
        <v>0</v>
      </c>
      <c r="P18" s="422">
        <v>0</v>
      </c>
      <c r="Q18" s="422">
        <v>0</v>
      </c>
      <c r="R18" s="422">
        <v>0</v>
      </c>
      <c r="S18" s="422">
        <v>0</v>
      </c>
      <c r="T18" s="414"/>
      <c r="U18" s="414"/>
      <c r="V18" s="414"/>
      <c r="W18" s="414"/>
      <c r="X18" s="414"/>
      <c r="Y18" s="414"/>
      <c r="Z18" s="414"/>
      <c r="AA18" s="414"/>
      <c r="AB18" s="414"/>
      <c r="AC18" s="414"/>
      <c r="AD18" s="414"/>
      <c r="AE18" s="414"/>
      <c r="AF18" s="414"/>
      <c r="AG18" s="414"/>
      <c r="AH18" s="414"/>
      <c r="AI18" s="414"/>
      <c r="AJ18" s="414"/>
      <c r="AK18" s="414"/>
      <c r="AL18" s="414"/>
      <c r="AM18" s="414"/>
      <c r="AN18" s="414"/>
      <c r="AO18" s="414"/>
      <c r="AP18" s="414"/>
      <c r="AQ18" s="414"/>
      <c r="AR18" s="414"/>
      <c r="AS18" s="414"/>
      <c r="AT18" s="414"/>
      <c r="AU18" s="414"/>
      <c r="AV18" s="414"/>
      <c r="AW18" s="414"/>
      <c r="AX18" s="414"/>
      <c r="AY18" s="414"/>
      <c r="AZ18" s="414"/>
      <c r="BA18" s="414"/>
      <c r="BB18" s="414"/>
      <c r="BC18" s="414"/>
      <c r="BD18" s="414"/>
      <c r="BE18" s="414"/>
      <c r="BF18" s="414"/>
      <c r="BG18" s="414"/>
      <c r="BH18" s="414"/>
      <c r="BI18" s="414"/>
      <c r="BJ18" s="414"/>
      <c r="BK18" s="414"/>
    </row>
    <row r="19" spans="1:64">
      <c r="B19" s="291" t="s">
        <v>416</v>
      </c>
      <c r="C19" s="409">
        <f>SUM(F19:BK19)</f>
        <v>5802853.4708925635</v>
      </c>
      <c r="D19" s="723"/>
      <c r="E19" s="724"/>
      <c r="F19" s="423"/>
      <c r="G19" s="423">
        <f>SUM($E18:F18)*$J$5</f>
        <v>0</v>
      </c>
      <c r="H19" s="423">
        <f t="shared" ref="H19:BJ19" si="5">(G19)+(G18*K5)</f>
        <v>0</v>
      </c>
      <c r="I19" s="423">
        <f t="shared" si="5"/>
        <v>0</v>
      </c>
      <c r="J19" s="423">
        <f>(I19)+(I18*M5)</f>
        <v>44368.39366679325</v>
      </c>
      <c r="K19" s="423">
        <f>(J19)+(J18*N5)</f>
        <v>108650.66183444834</v>
      </c>
      <c r="L19" s="423">
        <f t="shared" si="5"/>
        <v>108650.66183444834</v>
      </c>
      <c r="M19" s="423">
        <f t="shared" si="5"/>
        <v>108650.66183444834</v>
      </c>
      <c r="N19" s="423">
        <f t="shared" si="5"/>
        <v>108650.66183444834</v>
      </c>
      <c r="O19" s="423">
        <f t="shared" si="5"/>
        <v>108650.66183444834</v>
      </c>
      <c r="P19" s="423">
        <f t="shared" si="5"/>
        <v>108650.66183444834</v>
      </c>
      <c r="Q19" s="423">
        <f t="shared" si="5"/>
        <v>108650.66183444834</v>
      </c>
      <c r="R19" s="423">
        <f t="shared" si="5"/>
        <v>108650.66183444834</v>
      </c>
      <c r="S19" s="423">
        <f t="shared" si="5"/>
        <v>108650.66183444834</v>
      </c>
      <c r="T19" s="423">
        <f t="shared" si="5"/>
        <v>108650.66183444834</v>
      </c>
      <c r="U19" s="423">
        <f t="shared" si="5"/>
        <v>108650.66183444834</v>
      </c>
      <c r="V19" s="423">
        <f t="shared" si="5"/>
        <v>108650.66183444834</v>
      </c>
      <c r="W19" s="423">
        <f t="shared" si="5"/>
        <v>108650.66183444834</v>
      </c>
      <c r="X19" s="423">
        <f t="shared" si="5"/>
        <v>108650.66183444834</v>
      </c>
      <c r="Y19" s="423">
        <f t="shared" si="5"/>
        <v>108650.66183444834</v>
      </c>
      <c r="Z19" s="423">
        <f t="shared" si="5"/>
        <v>108650.66183444834</v>
      </c>
      <c r="AA19" s="423">
        <f t="shared" si="5"/>
        <v>108650.66183444834</v>
      </c>
      <c r="AB19" s="423">
        <f t="shared" si="5"/>
        <v>108650.66183444834</v>
      </c>
      <c r="AC19" s="423">
        <f t="shared" si="5"/>
        <v>108650.66183444834</v>
      </c>
      <c r="AD19" s="423">
        <f t="shared" si="5"/>
        <v>108650.66183444834</v>
      </c>
      <c r="AE19" s="423">
        <f t="shared" si="5"/>
        <v>108650.66183444834</v>
      </c>
      <c r="AF19" s="423">
        <f t="shared" si="5"/>
        <v>108650.66183444834</v>
      </c>
      <c r="AG19" s="423">
        <f t="shared" si="5"/>
        <v>108650.66183444834</v>
      </c>
      <c r="AH19" s="423">
        <f t="shared" si="5"/>
        <v>108650.66183444834</v>
      </c>
      <c r="AI19" s="423">
        <f t="shared" si="5"/>
        <v>108650.66183444834</v>
      </c>
      <c r="AJ19" s="423">
        <f t="shared" si="5"/>
        <v>108650.66183444834</v>
      </c>
      <c r="AK19" s="423">
        <f t="shared" si="5"/>
        <v>108650.66183444834</v>
      </c>
      <c r="AL19" s="423">
        <f t="shared" si="5"/>
        <v>108650.66183444834</v>
      </c>
      <c r="AM19" s="423">
        <f t="shared" si="5"/>
        <v>108650.66183444834</v>
      </c>
      <c r="AN19" s="423">
        <f t="shared" si="5"/>
        <v>108650.66183444834</v>
      </c>
      <c r="AO19" s="423">
        <f t="shared" si="5"/>
        <v>108650.66183444834</v>
      </c>
      <c r="AP19" s="423">
        <f t="shared" si="5"/>
        <v>108650.66183444834</v>
      </c>
      <c r="AQ19" s="423">
        <f t="shared" si="5"/>
        <v>108650.66183444834</v>
      </c>
      <c r="AR19" s="423">
        <f t="shared" si="5"/>
        <v>108650.66183444834</v>
      </c>
      <c r="AS19" s="423">
        <f t="shared" si="5"/>
        <v>108650.66183444834</v>
      </c>
      <c r="AT19" s="423">
        <f t="shared" si="5"/>
        <v>108650.66183444834</v>
      </c>
      <c r="AU19" s="423">
        <f t="shared" si="5"/>
        <v>108650.66183444834</v>
      </c>
      <c r="AV19" s="423">
        <f t="shared" si="5"/>
        <v>108650.66183444834</v>
      </c>
      <c r="AW19" s="423">
        <f t="shared" si="5"/>
        <v>108650.66183444834</v>
      </c>
      <c r="AX19" s="423">
        <f t="shared" si="5"/>
        <v>108650.66183444834</v>
      </c>
      <c r="AY19" s="423">
        <f t="shared" si="5"/>
        <v>108650.66183444834</v>
      </c>
      <c r="AZ19" s="423">
        <f t="shared" si="5"/>
        <v>108650.66183444834</v>
      </c>
      <c r="BA19" s="423">
        <f t="shared" si="5"/>
        <v>108650.66183444834</v>
      </c>
      <c r="BB19" s="423">
        <f t="shared" si="5"/>
        <v>108650.66183444834</v>
      </c>
      <c r="BC19" s="423">
        <f t="shared" si="5"/>
        <v>108650.66183444834</v>
      </c>
      <c r="BD19" s="423">
        <f t="shared" si="5"/>
        <v>108650.66183444834</v>
      </c>
      <c r="BE19" s="423">
        <f t="shared" si="5"/>
        <v>108650.66183444834</v>
      </c>
      <c r="BF19" s="423">
        <f t="shared" si="5"/>
        <v>108650.66183444834</v>
      </c>
      <c r="BG19" s="423">
        <f t="shared" si="5"/>
        <v>108650.66183444834</v>
      </c>
      <c r="BH19" s="423">
        <f t="shared" si="5"/>
        <v>108650.66183444834</v>
      </c>
      <c r="BI19" s="423">
        <f t="shared" si="5"/>
        <v>108650.66183444834</v>
      </c>
      <c r="BJ19" s="423">
        <f t="shared" si="5"/>
        <v>108650.66183444834</v>
      </c>
      <c r="BK19" s="423">
        <f>((BJ19)+(BJ18*BN5))</f>
        <v>108650.66183444834</v>
      </c>
      <c r="BL19" s="404"/>
    </row>
    <row r="20" spans="1:64">
      <c r="A20" s="419">
        <f>56+1.5</f>
        <v>57.5</v>
      </c>
      <c r="B20" s="420" t="s">
        <v>417</v>
      </c>
      <c r="C20" s="421">
        <f>'3. INVESTIMENTO GLOBAL'!D7</f>
        <v>1559</v>
      </c>
      <c r="D20" s="723"/>
      <c r="E20" s="724"/>
      <c r="F20" s="422">
        <v>0</v>
      </c>
      <c r="G20" s="422">
        <v>0</v>
      </c>
      <c r="H20" s="422">
        <v>667</v>
      </c>
      <c r="I20" s="422">
        <v>650</v>
      </c>
      <c r="J20" s="422">
        <v>242</v>
      </c>
      <c r="K20" s="422">
        <v>0</v>
      </c>
      <c r="L20" s="422">
        <v>0</v>
      </c>
      <c r="M20" s="422">
        <v>0</v>
      </c>
      <c r="N20" s="422">
        <v>0</v>
      </c>
      <c r="O20" s="422">
        <v>0</v>
      </c>
      <c r="P20" s="422">
        <v>0</v>
      </c>
      <c r="Q20" s="422">
        <v>0</v>
      </c>
      <c r="R20" s="414"/>
      <c r="S20" s="414"/>
      <c r="T20" s="414"/>
      <c r="U20" s="414"/>
      <c r="V20" s="414"/>
      <c r="W20" s="414"/>
      <c r="X20" s="414"/>
      <c r="Y20" s="414"/>
      <c r="Z20" s="414"/>
      <c r="AA20" s="414"/>
      <c r="AB20" s="414"/>
      <c r="AC20" s="414"/>
      <c r="AD20" s="414"/>
      <c r="AE20" s="414"/>
      <c r="AF20" s="414"/>
      <c r="AG20" s="414"/>
      <c r="AH20" s="414"/>
      <c r="AI20" s="414"/>
      <c r="AJ20" s="414"/>
      <c r="AK20" s="414"/>
      <c r="AL20" s="414"/>
      <c r="AM20" s="414"/>
      <c r="AN20" s="414"/>
      <c r="AO20" s="414"/>
      <c r="AP20" s="414"/>
      <c r="AQ20" s="414"/>
      <c r="AR20" s="414"/>
      <c r="AS20" s="414"/>
      <c r="AT20" s="414"/>
      <c r="AU20" s="414"/>
      <c r="AV20" s="414"/>
      <c r="AW20" s="414"/>
      <c r="AX20" s="414"/>
      <c r="AY20" s="414"/>
      <c r="AZ20" s="414"/>
      <c r="BA20" s="414"/>
      <c r="BB20" s="414"/>
      <c r="BC20" s="414"/>
      <c r="BD20" s="414"/>
      <c r="BE20" s="414"/>
      <c r="BF20" s="414"/>
      <c r="BG20" s="414"/>
      <c r="BH20" s="414"/>
      <c r="BI20" s="414"/>
      <c r="BJ20" s="414"/>
      <c r="BK20" s="414"/>
    </row>
    <row r="21" spans="1:64">
      <c r="A21" s="419"/>
      <c r="B21" s="291" t="s">
        <v>416</v>
      </c>
      <c r="C21" s="409">
        <f>SUM(F21:BK21)</f>
        <v>3836488.5750569846</v>
      </c>
      <c r="D21" s="723"/>
      <c r="E21" s="724"/>
      <c r="F21" s="423"/>
      <c r="G21" s="423">
        <f>SUM($E20:F20)*$J$6</f>
        <v>0</v>
      </c>
      <c r="H21" s="423">
        <f>(G21)+(G20*K6)</f>
        <v>0</v>
      </c>
      <c r="I21" s="423">
        <f t="shared" ref="I21:BH21" si="6">(H21)+(H20*L6)</f>
        <v>29843.581311598402</v>
      </c>
      <c r="J21" s="423">
        <f t="shared" si="6"/>
        <v>59465.104769026439</v>
      </c>
      <c r="K21" s="423">
        <f t="shared" si="6"/>
        <v>70701.507339176504</v>
      </c>
      <c r="L21" s="423">
        <f t="shared" si="6"/>
        <v>70701.507339176504</v>
      </c>
      <c r="M21" s="423">
        <f t="shared" si="6"/>
        <v>70701.507339176504</v>
      </c>
      <c r="N21" s="423">
        <f t="shared" si="6"/>
        <v>70701.507339176504</v>
      </c>
      <c r="O21" s="423">
        <f t="shared" si="6"/>
        <v>70701.507339176504</v>
      </c>
      <c r="P21" s="423">
        <f t="shared" si="6"/>
        <v>70701.507339176504</v>
      </c>
      <c r="Q21" s="423">
        <f t="shared" si="6"/>
        <v>70701.507339176504</v>
      </c>
      <c r="R21" s="423">
        <f t="shared" si="6"/>
        <v>70701.507339176504</v>
      </c>
      <c r="S21" s="423">
        <f>(R21)+(R20*V6)</f>
        <v>70701.507339176504</v>
      </c>
      <c r="T21" s="423">
        <f t="shared" si="6"/>
        <v>70701.507339176504</v>
      </c>
      <c r="U21" s="423">
        <f t="shared" si="6"/>
        <v>70701.507339176504</v>
      </c>
      <c r="V21" s="423">
        <f t="shared" si="6"/>
        <v>70701.507339176504</v>
      </c>
      <c r="W21" s="423">
        <f t="shared" si="6"/>
        <v>70701.507339176504</v>
      </c>
      <c r="X21" s="423">
        <f t="shared" si="6"/>
        <v>70701.507339176504</v>
      </c>
      <c r="Y21" s="423">
        <f t="shared" si="6"/>
        <v>70701.507339176504</v>
      </c>
      <c r="Z21" s="423">
        <f t="shared" si="6"/>
        <v>70701.507339176504</v>
      </c>
      <c r="AA21" s="423">
        <f t="shared" si="6"/>
        <v>70701.507339176504</v>
      </c>
      <c r="AB21" s="423">
        <f t="shared" si="6"/>
        <v>70701.507339176504</v>
      </c>
      <c r="AC21" s="423">
        <f t="shared" si="6"/>
        <v>70701.507339176504</v>
      </c>
      <c r="AD21" s="423">
        <f t="shared" si="6"/>
        <v>70701.507339176504</v>
      </c>
      <c r="AE21" s="423">
        <f t="shared" si="6"/>
        <v>70701.507339176504</v>
      </c>
      <c r="AF21" s="423">
        <f t="shared" si="6"/>
        <v>70701.507339176504</v>
      </c>
      <c r="AG21" s="423">
        <f t="shared" si="6"/>
        <v>70701.507339176504</v>
      </c>
      <c r="AH21" s="423">
        <f t="shared" si="6"/>
        <v>70701.507339176504</v>
      </c>
      <c r="AI21" s="423">
        <f t="shared" si="6"/>
        <v>70701.507339176504</v>
      </c>
      <c r="AJ21" s="423">
        <f t="shared" si="6"/>
        <v>70701.507339176504</v>
      </c>
      <c r="AK21" s="423">
        <f t="shared" si="6"/>
        <v>70701.507339176504</v>
      </c>
      <c r="AL21" s="423">
        <f t="shared" si="6"/>
        <v>70701.507339176504</v>
      </c>
      <c r="AM21" s="423">
        <f t="shared" si="6"/>
        <v>70701.507339176504</v>
      </c>
      <c r="AN21" s="423">
        <f t="shared" si="6"/>
        <v>70701.507339176504</v>
      </c>
      <c r="AO21" s="423">
        <f t="shared" si="6"/>
        <v>70701.507339176504</v>
      </c>
      <c r="AP21" s="423">
        <f t="shared" si="6"/>
        <v>70701.507339176504</v>
      </c>
      <c r="AQ21" s="423">
        <f t="shared" si="6"/>
        <v>70701.507339176504</v>
      </c>
      <c r="AR21" s="423">
        <f t="shared" si="6"/>
        <v>70701.507339176504</v>
      </c>
      <c r="AS21" s="423">
        <f t="shared" si="6"/>
        <v>70701.507339176504</v>
      </c>
      <c r="AT21" s="423">
        <f t="shared" si="6"/>
        <v>70701.507339176504</v>
      </c>
      <c r="AU21" s="423">
        <f t="shared" si="6"/>
        <v>70701.507339176504</v>
      </c>
      <c r="AV21" s="423">
        <f t="shared" si="6"/>
        <v>70701.507339176504</v>
      </c>
      <c r="AW21" s="423">
        <f t="shared" si="6"/>
        <v>70701.507339176504</v>
      </c>
      <c r="AX21" s="423">
        <f t="shared" si="6"/>
        <v>70701.507339176504</v>
      </c>
      <c r="AY21" s="423">
        <f t="shared" si="6"/>
        <v>70701.507339176504</v>
      </c>
      <c r="AZ21" s="423">
        <f t="shared" si="6"/>
        <v>70701.507339176504</v>
      </c>
      <c r="BA21" s="423">
        <f t="shared" si="6"/>
        <v>70701.507339176504</v>
      </c>
      <c r="BB21" s="423">
        <f t="shared" si="6"/>
        <v>70701.507339176504</v>
      </c>
      <c r="BC21" s="423">
        <f t="shared" si="6"/>
        <v>70701.507339176504</v>
      </c>
      <c r="BD21" s="423">
        <f t="shared" si="6"/>
        <v>70701.507339176504</v>
      </c>
      <c r="BE21" s="423">
        <f t="shared" si="6"/>
        <v>70701.507339176504</v>
      </c>
      <c r="BF21" s="423">
        <f t="shared" si="6"/>
        <v>70701.507339176504</v>
      </c>
      <c r="BG21" s="423">
        <f t="shared" si="6"/>
        <v>70701.507339176504</v>
      </c>
      <c r="BH21" s="423">
        <f t="shared" si="6"/>
        <v>70701.507339176504</v>
      </c>
      <c r="BI21" s="423">
        <f>(BH21)+(BH20*BL6)</f>
        <v>70701.507339176504</v>
      </c>
      <c r="BJ21" s="423">
        <f>(BI21)+(BI20*BM6)</f>
        <v>70701.507339176504</v>
      </c>
      <c r="BK21" s="423">
        <f>(BJ21)+(BJ20*BN6)</f>
        <v>70701.507339176504</v>
      </c>
      <c r="BL21" s="404"/>
    </row>
    <row r="22" spans="1:64">
      <c r="A22" s="419">
        <f>75+1.5</f>
        <v>76.5</v>
      </c>
      <c r="B22" s="420" t="s">
        <v>418</v>
      </c>
      <c r="C22" s="421">
        <f>'3. INVESTIMENTO GLOBAL'!D8</f>
        <v>1266</v>
      </c>
      <c r="D22" s="723"/>
      <c r="E22" s="724"/>
      <c r="F22" s="422">
        <v>0</v>
      </c>
      <c r="G22" s="422">
        <v>433</v>
      </c>
      <c r="H22" s="422">
        <v>833</v>
      </c>
      <c r="I22" s="422">
        <v>0</v>
      </c>
      <c r="J22" s="422">
        <v>0</v>
      </c>
      <c r="K22" s="422">
        <v>0</v>
      </c>
      <c r="L22" s="422">
        <v>0</v>
      </c>
      <c r="M22" s="422">
        <v>0</v>
      </c>
      <c r="N22" s="422">
        <v>0</v>
      </c>
      <c r="O22" s="422">
        <v>0</v>
      </c>
      <c r="P22" s="422">
        <v>0</v>
      </c>
      <c r="Q22" s="422">
        <v>0</v>
      </c>
      <c r="R22" s="414"/>
      <c r="S22" s="414"/>
      <c r="T22" s="414"/>
      <c r="U22" s="414"/>
      <c r="V22" s="414"/>
      <c r="W22" s="414"/>
      <c r="X22" s="414"/>
      <c r="Y22" s="414"/>
      <c r="Z22" s="414"/>
      <c r="AA22" s="414"/>
      <c r="AB22" s="414"/>
      <c r="AC22" s="414"/>
      <c r="AD22" s="414"/>
      <c r="AE22" s="414"/>
      <c r="AF22" s="414"/>
      <c r="AG22" s="414"/>
      <c r="AH22" s="414"/>
      <c r="AI22" s="414"/>
      <c r="AJ22" s="414"/>
      <c r="AK22" s="414"/>
      <c r="AL22" s="414"/>
      <c r="AM22" s="414"/>
      <c r="AN22" s="414"/>
      <c r="AO22" s="414"/>
      <c r="AP22" s="414"/>
      <c r="AQ22" s="414"/>
      <c r="AR22" s="414"/>
      <c r="AS22" s="414"/>
      <c r="AT22" s="414"/>
      <c r="AU22" s="414"/>
      <c r="AV22" s="414"/>
      <c r="AW22" s="414"/>
      <c r="AX22" s="414"/>
      <c r="AY22" s="414"/>
      <c r="AZ22" s="414"/>
      <c r="BA22" s="414"/>
      <c r="BB22" s="414"/>
      <c r="BC22" s="414"/>
      <c r="BD22" s="414"/>
      <c r="BE22" s="414"/>
      <c r="BF22" s="414"/>
      <c r="BG22" s="414"/>
      <c r="BH22" s="414"/>
      <c r="BI22" s="414"/>
      <c r="BJ22" s="414"/>
      <c r="BK22" s="414"/>
    </row>
    <row r="23" spans="1:64">
      <c r="B23" s="291" t="s">
        <v>416</v>
      </c>
      <c r="C23" s="409">
        <f>SUM(F23:BK23)</f>
        <v>3889399.4225545884</v>
      </c>
      <c r="D23" s="723"/>
      <c r="E23" s="724"/>
      <c r="F23" s="414"/>
      <c r="G23" s="423">
        <f>SUM($E22:F22)*$J$7</f>
        <v>0</v>
      </c>
      <c r="H23" s="423">
        <f t="shared" ref="H23:BH23" si="7">(G23)+(G22*K7)</f>
        <v>23754.653999748065</v>
      </c>
      <c r="I23" s="423">
        <f t="shared" si="7"/>
        <v>70284.450337360817</v>
      </c>
      <c r="J23" s="423">
        <f t="shared" si="7"/>
        <v>70284.450337360817</v>
      </c>
      <c r="K23" s="423">
        <f t="shared" si="7"/>
        <v>70284.450337360817</v>
      </c>
      <c r="L23" s="423">
        <f t="shared" si="7"/>
        <v>70284.450337360817</v>
      </c>
      <c r="M23" s="423">
        <f t="shared" si="7"/>
        <v>70284.450337360817</v>
      </c>
      <c r="N23" s="423">
        <f t="shared" si="7"/>
        <v>70284.450337360817</v>
      </c>
      <c r="O23" s="423">
        <f t="shared" si="7"/>
        <v>70284.450337360817</v>
      </c>
      <c r="P23" s="423">
        <f t="shared" si="7"/>
        <v>70284.450337360817</v>
      </c>
      <c r="Q23" s="423">
        <f t="shared" si="7"/>
        <v>70284.450337360817</v>
      </c>
      <c r="R23" s="423">
        <f t="shared" si="7"/>
        <v>70284.450337360817</v>
      </c>
      <c r="S23" s="423">
        <f>(R23)+(R22*V7)</f>
        <v>70284.450337360817</v>
      </c>
      <c r="T23" s="423">
        <f t="shared" si="7"/>
        <v>70284.450337360817</v>
      </c>
      <c r="U23" s="423">
        <f t="shared" si="7"/>
        <v>70284.450337360817</v>
      </c>
      <c r="V23" s="423">
        <f t="shared" si="7"/>
        <v>70284.450337360817</v>
      </c>
      <c r="W23" s="423">
        <f t="shared" si="7"/>
        <v>70284.450337360817</v>
      </c>
      <c r="X23" s="423">
        <f t="shared" si="7"/>
        <v>70284.450337360817</v>
      </c>
      <c r="Y23" s="423">
        <f t="shared" si="7"/>
        <v>70284.450337360817</v>
      </c>
      <c r="Z23" s="423">
        <f t="shared" si="7"/>
        <v>70284.450337360817</v>
      </c>
      <c r="AA23" s="423">
        <f t="shared" si="7"/>
        <v>70284.450337360817</v>
      </c>
      <c r="AB23" s="423">
        <f t="shared" si="7"/>
        <v>70284.450337360817</v>
      </c>
      <c r="AC23" s="423">
        <f t="shared" si="7"/>
        <v>70284.450337360817</v>
      </c>
      <c r="AD23" s="423">
        <f t="shared" si="7"/>
        <v>70284.450337360817</v>
      </c>
      <c r="AE23" s="423">
        <f t="shared" si="7"/>
        <v>70284.450337360817</v>
      </c>
      <c r="AF23" s="423">
        <f t="shared" si="7"/>
        <v>70284.450337360817</v>
      </c>
      <c r="AG23" s="423">
        <f t="shared" si="7"/>
        <v>70284.450337360817</v>
      </c>
      <c r="AH23" s="423">
        <f t="shared" si="7"/>
        <v>70284.450337360817</v>
      </c>
      <c r="AI23" s="423">
        <f t="shared" si="7"/>
        <v>70284.450337360817</v>
      </c>
      <c r="AJ23" s="423">
        <f t="shared" si="7"/>
        <v>70284.450337360817</v>
      </c>
      <c r="AK23" s="423">
        <f t="shared" si="7"/>
        <v>70284.450337360817</v>
      </c>
      <c r="AL23" s="423">
        <f t="shared" si="7"/>
        <v>70284.450337360817</v>
      </c>
      <c r="AM23" s="423">
        <f t="shared" si="7"/>
        <v>70284.450337360817</v>
      </c>
      <c r="AN23" s="423">
        <f t="shared" si="7"/>
        <v>70284.450337360817</v>
      </c>
      <c r="AO23" s="423">
        <f t="shared" si="7"/>
        <v>70284.450337360817</v>
      </c>
      <c r="AP23" s="423">
        <f t="shared" si="7"/>
        <v>70284.450337360817</v>
      </c>
      <c r="AQ23" s="423">
        <f t="shared" si="7"/>
        <v>70284.450337360817</v>
      </c>
      <c r="AR23" s="423">
        <f t="shared" si="7"/>
        <v>70284.450337360817</v>
      </c>
      <c r="AS23" s="423">
        <f t="shared" si="7"/>
        <v>70284.450337360817</v>
      </c>
      <c r="AT23" s="423">
        <f t="shared" si="7"/>
        <v>70284.450337360817</v>
      </c>
      <c r="AU23" s="423">
        <f t="shared" si="7"/>
        <v>70284.450337360817</v>
      </c>
      <c r="AV23" s="423">
        <f t="shared" si="7"/>
        <v>70284.450337360817</v>
      </c>
      <c r="AW23" s="423">
        <f t="shared" si="7"/>
        <v>70284.450337360817</v>
      </c>
      <c r="AX23" s="423">
        <f t="shared" si="7"/>
        <v>70284.450337360817</v>
      </c>
      <c r="AY23" s="423">
        <f t="shared" si="7"/>
        <v>70284.450337360817</v>
      </c>
      <c r="AZ23" s="423">
        <f t="shared" si="7"/>
        <v>70284.450337360817</v>
      </c>
      <c r="BA23" s="423">
        <f t="shared" si="7"/>
        <v>70284.450337360817</v>
      </c>
      <c r="BB23" s="423">
        <f t="shared" si="7"/>
        <v>70284.450337360817</v>
      </c>
      <c r="BC23" s="423">
        <f t="shared" si="7"/>
        <v>70284.450337360817</v>
      </c>
      <c r="BD23" s="423">
        <f t="shared" si="7"/>
        <v>70284.450337360817</v>
      </c>
      <c r="BE23" s="423">
        <f t="shared" si="7"/>
        <v>70284.450337360817</v>
      </c>
      <c r="BF23" s="423">
        <f t="shared" si="7"/>
        <v>70284.450337360817</v>
      </c>
      <c r="BG23" s="423">
        <f t="shared" si="7"/>
        <v>70284.450337360817</v>
      </c>
      <c r="BH23" s="423">
        <f t="shared" si="7"/>
        <v>70284.450337360817</v>
      </c>
      <c r="BI23" s="423">
        <f>(BH23)+(BH22*BL7)</f>
        <v>70284.450337360817</v>
      </c>
      <c r="BJ23" s="423">
        <f>(BI23)+(BI22*BM7)</f>
        <v>70284.450337360817</v>
      </c>
      <c r="BK23" s="423">
        <f>(BJ23)+(BJ22*BN7)</f>
        <v>70284.450337360817</v>
      </c>
      <c r="BL23" s="404"/>
    </row>
    <row r="24" spans="1:64">
      <c r="A24" s="419">
        <f>115+1.5</f>
        <v>116.5</v>
      </c>
      <c r="B24" s="420" t="s">
        <v>419</v>
      </c>
      <c r="C24" s="421">
        <f>'3. INVESTIMENTO GLOBAL'!D9</f>
        <v>1083</v>
      </c>
      <c r="D24" s="723"/>
      <c r="E24" s="724"/>
      <c r="F24" s="422">
        <v>216</v>
      </c>
      <c r="G24" s="422">
        <v>867</v>
      </c>
      <c r="H24" s="422">
        <v>0</v>
      </c>
      <c r="I24" s="422">
        <v>0</v>
      </c>
      <c r="J24" s="422">
        <v>0</v>
      </c>
      <c r="K24" s="422">
        <v>0</v>
      </c>
      <c r="L24" s="422">
        <v>0</v>
      </c>
      <c r="M24" s="422">
        <v>0</v>
      </c>
      <c r="N24" s="422">
        <v>0</v>
      </c>
      <c r="O24" s="422">
        <v>0</v>
      </c>
      <c r="P24" s="422">
        <v>0</v>
      </c>
      <c r="Q24" s="422">
        <v>0</v>
      </c>
      <c r="R24" s="414"/>
      <c r="S24" s="414"/>
      <c r="T24" s="414"/>
      <c r="U24" s="414"/>
      <c r="V24" s="414"/>
      <c r="W24" s="414"/>
      <c r="X24" s="414"/>
      <c r="Y24" s="414"/>
      <c r="Z24" s="414"/>
      <c r="AA24" s="414"/>
      <c r="AB24" s="414"/>
      <c r="AC24" s="414"/>
      <c r="AD24" s="414"/>
      <c r="AE24" s="414"/>
      <c r="AF24" s="414"/>
      <c r="AG24" s="414"/>
      <c r="AH24" s="414"/>
      <c r="AI24" s="414"/>
      <c r="AJ24" s="414"/>
      <c r="AK24" s="414"/>
      <c r="AL24" s="414"/>
      <c r="AM24" s="414"/>
      <c r="AN24" s="414"/>
      <c r="AO24" s="414"/>
      <c r="AP24" s="414"/>
      <c r="AQ24" s="414"/>
      <c r="AR24" s="414"/>
      <c r="AS24" s="414"/>
      <c r="AT24" s="414"/>
      <c r="AU24" s="414"/>
      <c r="AV24" s="414"/>
      <c r="AW24" s="414"/>
      <c r="AX24" s="414"/>
      <c r="AY24" s="414"/>
      <c r="AZ24" s="414"/>
      <c r="BA24" s="414"/>
      <c r="BB24" s="414"/>
      <c r="BC24" s="414"/>
      <c r="BD24" s="414"/>
      <c r="BE24" s="414"/>
      <c r="BF24" s="414"/>
      <c r="BG24" s="414"/>
      <c r="BH24" s="414"/>
      <c r="BI24" s="414"/>
      <c r="BJ24" s="414"/>
      <c r="BK24" s="414"/>
    </row>
    <row r="25" spans="1:64">
      <c r="A25" s="419"/>
      <c r="B25" s="291" t="s">
        <v>416</v>
      </c>
      <c r="C25" s="409">
        <f>SUM(F25:BK25)</f>
        <v>3396708.0901529687</v>
      </c>
      <c r="D25" s="723"/>
      <c r="E25" s="724"/>
      <c r="F25" s="414"/>
      <c r="G25" s="423">
        <f>SUM($E24:F24)*$J$8</f>
        <v>11885.259391116952</v>
      </c>
      <c r="H25" s="423">
        <f>(G25)+(G24*K8)</f>
        <v>60443.264835033006</v>
      </c>
      <c r="I25" s="423">
        <f t="shared" ref="I25:BH25" si="8">(H25)+(H24*L8)</f>
        <v>60443.264835033006</v>
      </c>
      <c r="J25" s="423">
        <f t="shared" si="8"/>
        <v>60443.264835033006</v>
      </c>
      <c r="K25" s="423">
        <f>(J25)+(J24*N8)</f>
        <v>60443.264835033006</v>
      </c>
      <c r="L25" s="423">
        <f>(K25)+(K24*O8)</f>
        <v>60443.264835033006</v>
      </c>
      <c r="M25" s="423">
        <f>(L25)+(L24*P8)</f>
        <v>60443.264835033006</v>
      </c>
      <c r="N25" s="423">
        <f>(M25)+(M24*Q8)</f>
        <v>60443.264835033006</v>
      </c>
      <c r="O25" s="423">
        <f t="shared" si="8"/>
        <v>60443.264835033006</v>
      </c>
      <c r="P25" s="423">
        <f t="shared" si="8"/>
        <v>60443.264835033006</v>
      </c>
      <c r="Q25" s="423">
        <f t="shared" si="8"/>
        <v>60443.264835033006</v>
      </c>
      <c r="R25" s="423">
        <f t="shared" si="8"/>
        <v>60443.264835033006</v>
      </c>
      <c r="S25" s="423">
        <f t="shared" si="8"/>
        <v>60443.264835033006</v>
      </c>
      <c r="T25" s="423">
        <f t="shared" si="8"/>
        <v>60443.264835033006</v>
      </c>
      <c r="U25" s="423">
        <f t="shared" si="8"/>
        <v>60443.264835033006</v>
      </c>
      <c r="V25" s="423">
        <f t="shared" si="8"/>
        <v>60443.264835033006</v>
      </c>
      <c r="W25" s="423">
        <f t="shared" si="8"/>
        <v>60443.264835033006</v>
      </c>
      <c r="X25" s="423">
        <f t="shared" si="8"/>
        <v>60443.264835033006</v>
      </c>
      <c r="Y25" s="423">
        <f t="shared" si="8"/>
        <v>60443.264835033006</v>
      </c>
      <c r="Z25" s="423">
        <f t="shared" si="8"/>
        <v>60443.264835033006</v>
      </c>
      <c r="AA25" s="423">
        <f t="shared" si="8"/>
        <v>60443.264835033006</v>
      </c>
      <c r="AB25" s="423">
        <f t="shared" si="8"/>
        <v>60443.264835033006</v>
      </c>
      <c r="AC25" s="423">
        <f t="shared" si="8"/>
        <v>60443.264835033006</v>
      </c>
      <c r="AD25" s="423">
        <f t="shared" si="8"/>
        <v>60443.264835033006</v>
      </c>
      <c r="AE25" s="423">
        <f t="shared" si="8"/>
        <v>60443.264835033006</v>
      </c>
      <c r="AF25" s="423">
        <f t="shared" si="8"/>
        <v>60443.264835033006</v>
      </c>
      <c r="AG25" s="423">
        <f t="shared" si="8"/>
        <v>60443.264835033006</v>
      </c>
      <c r="AH25" s="423">
        <f t="shared" si="8"/>
        <v>60443.264835033006</v>
      </c>
      <c r="AI25" s="423">
        <f t="shared" si="8"/>
        <v>60443.264835033006</v>
      </c>
      <c r="AJ25" s="423">
        <f t="shared" si="8"/>
        <v>60443.264835033006</v>
      </c>
      <c r="AK25" s="423">
        <f t="shared" si="8"/>
        <v>60443.264835033006</v>
      </c>
      <c r="AL25" s="423">
        <f t="shared" si="8"/>
        <v>60443.264835033006</v>
      </c>
      <c r="AM25" s="423">
        <f t="shared" si="8"/>
        <v>60443.264835033006</v>
      </c>
      <c r="AN25" s="423">
        <f t="shared" si="8"/>
        <v>60443.264835033006</v>
      </c>
      <c r="AO25" s="423">
        <f t="shared" si="8"/>
        <v>60443.264835033006</v>
      </c>
      <c r="AP25" s="423">
        <f t="shared" si="8"/>
        <v>60443.264835033006</v>
      </c>
      <c r="AQ25" s="423">
        <f t="shared" si="8"/>
        <v>60443.264835033006</v>
      </c>
      <c r="AR25" s="423">
        <f t="shared" si="8"/>
        <v>60443.264835033006</v>
      </c>
      <c r="AS25" s="423">
        <f t="shared" si="8"/>
        <v>60443.264835033006</v>
      </c>
      <c r="AT25" s="423">
        <f t="shared" si="8"/>
        <v>60443.264835033006</v>
      </c>
      <c r="AU25" s="423">
        <f t="shared" si="8"/>
        <v>60443.264835033006</v>
      </c>
      <c r="AV25" s="423">
        <f t="shared" si="8"/>
        <v>60443.264835033006</v>
      </c>
      <c r="AW25" s="423">
        <f t="shared" si="8"/>
        <v>60443.264835033006</v>
      </c>
      <c r="AX25" s="423">
        <f t="shared" si="8"/>
        <v>60443.264835033006</v>
      </c>
      <c r="AY25" s="423">
        <f t="shared" si="8"/>
        <v>60443.264835033006</v>
      </c>
      <c r="AZ25" s="423">
        <f t="shared" si="8"/>
        <v>60443.264835033006</v>
      </c>
      <c r="BA25" s="423">
        <f t="shared" si="8"/>
        <v>60443.264835033006</v>
      </c>
      <c r="BB25" s="423">
        <f t="shared" si="8"/>
        <v>60443.264835033006</v>
      </c>
      <c r="BC25" s="423">
        <f t="shared" si="8"/>
        <v>60443.264835033006</v>
      </c>
      <c r="BD25" s="423">
        <f t="shared" si="8"/>
        <v>60443.264835033006</v>
      </c>
      <c r="BE25" s="423">
        <f t="shared" si="8"/>
        <v>60443.264835033006</v>
      </c>
      <c r="BF25" s="423">
        <f t="shared" si="8"/>
        <v>60443.264835033006</v>
      </c>
      <c r="BG25" s="423">
        <f t="shared" si="8"/>
        <v>60443.264835033006</v>
      </c>
      <c r="BH25" s="423">
        <f t="shared" si="8"/>
        <v>60443.264835033006</v>
      </c>
      <c r="BI25" s="423">
        <f>(BH25)+(BH24*BL8)</f>
        <v>60443.264835033006</v>
      </c>
      <c r="BJ25" s="423">
        <f>(BI25)+(BI24*BM8)</f>
        <v>60443.264835033006</v>
      </c>
      <c r="BK25" s="423">
        <f>(BJ25)+(BJ24*BN8)</f>
        <v>60443.264835033006</v>
      </c>
      <c r="BL25" s="404"/>
    </row>
    <row r="26" spans="1:64">
      <c r="A26" s="419">
        <f>129+1.5</f>
        <v>130.5</v>
      </c>
      <c r="B26" s="420" t="s">
        <v>420</v>
      </c>
      <c r="C26" s="421">
        <f>'3. INVESTIMENTO GLOBAL'!D10</f>
        <v>615</v>
      </c>
      <c r="D26" s="723"/>
      <c r="E26" s="724"/>
      <c r="F26" s="422">
        <v>615</v>
      </c>
      <c r="G26" s="422">
        <v>0</v>
      </c>
      <c r="H26" s="422">
        <v>0</v>
      </c>
      <c r="I26" s="422">
        <v>0</v>
      </c>
      <c r="J26" s="422">
        <v>0</v>
      </c>
      <c r="K26" s="422">
        <v>0</v>
      </c>
      <c r="L26" s="422">
        <v>0</v>
      </c>
      <c r="M26" s="422">
        <v>0</v>
      </c>
      <c r="N26" s="422">
        <v>0</v>
      </c>
      <c r="O26" s="422">
        <v>0</v>
      </c>
      <c r="P26" s="422">
        <v>0</v>
      </c>
      <c r="Q26" s="422">
        <v>0</v>
      </c>
      <c r="R26" s="414"/>
      <c r="S26" s="414"/>
      <c r="T26" s="414"/>
      <c r="U26" s="414"/>
      <c r="V26" s="414"/>
      <c r="W26" s="414"/>
      <c r="X26" s="414"/>
      <c r="Y26" s="414"/>
      <c r="Z26" s="414"/>
      <c r="AA26" s="414"/>
      <c r="AB26" s="414"/>
      <c r="AC26" s="414"/>
      <c r="AD26" s="414"/>
      <c r="AE26" s="414"/>
      <c r="AF26" s="414"/>
      <c r="AG26" s="414"/>
      <c r="AH26" s="414"/>
      <c r="AI26" s="414"/>
      <c r="AJ26" s="414"/>
      <c r="AK26" s="414"/>
      <c r="AL26" s="414"/>
      <c r="AM26" s="414"/>
      <c r="AN26" s="414"/>
      <c r="AO26" s="414"/>
      <c r="AP26" s="414"/>
      <c r="AQ26" s="414"/>
      <c r="AR26" s="414"/>
      <c r="AS26" s="414"/>
      <c r="AT26" s="414"/>
      <c r="AU26" s="414"/>
      <c r="AV26" s="414"/>
      <c r="AW26" s="414"/>
      <c r="AX26" s="414"/>
      <c r="AY26" s="414"/>
      <c r="AZ26" s="414"/>
      <c r="BA26" s="414"/>
      <c r="BB26" s="414"/>
      <c r="BC26" s="414"/>
      <c r="BD26" s="414"/>
      <c r="BE26" s="414"/>
      <c r="BF26" s="414"/>
      <c r="BG26" s="414"/>
      <c r="BH26" s="414"/>
      <c r="BI26" s="414"/>
      <c r="BJ26" s="414"/>
      <c r="BK26" s="414"/>
    </row>
    <row r="27" spans="1:64">
      <c r="A27" s="419"/>
      <c r="B27" s="291" t="s">
        <v>416</v>
      </c>
      <c r="C27" s="409">
        <f>SUM(F27:BK27)</f>
        <v>2498628.5431337426</v>
      </c>
      <c r="D27" s="723"/>
      <c r="E27" s="724"/>
      <c r="F27" s="414"/>
      <c r="G27" s="423">
        <f>SUM($E26:F26)*$J$9</f>
        <v>43835.588476030527</v>
      </c>
      <c r="H27" s="423">
        <f>(G27)+(G26*K9)</f>
        <v>43835.588476030527</v>
      </c>
      <c r="I27" s="423">
        <f t="shared" ref="I27:BH27" si="9">(H27)+(H26*L9)</f>
        <v>43835.588476030527</v>
      </c>
      <c r="J27" s="423">
        <f t="shared" si="9"/>
        <v>43835.588476030527</v>
      </c>
      <c r="K27" s="423">
        <f t="shared" si="9"/>
        <v>43835.588476030527</v>
      </c>
      <c r="L27" s="423">
        <f t="shared" si="9"/>
        <v>43835.588476030527</v>
      </c>
      <c r="M27" s="423">
        <f t="shared" si="9"/>
        <v>43835.588476030527</v>
      </c>
      <c r="N27" s="423">
        <f t="shared" si="9"/>
        <v>43835.588476030527</v>
      </c>
      <c r="O27" s="423">
        <f t="shared" si="9"/>
        <v>43835.588476030527</v>
      </c>
      <c r="P27" s="423">
        <f t="shared" si="9"/>
        <v>43835.588476030527</v>
      </c>
      <c r="Q27" s="423">
        <f t="shared" si="9"/>
        <v>43835.588476030527</v>
      </c>
      <c r="R27" s="423">
        <f t="shared" si="9"/>
        <v>43835.588476030527</v>
      </c>
      <c r="S27" s="423">
        <f t="shared" si="9"/>
        <v>43835.588476030527</v>
      </c>
      <c r="T27" s="423">
        <f t="shared" si="9"/>
        <v>43835.588476030527</v>
      </c>
      <c r="U27" s="423">
        <f t="shared" si="9"/>
        <v>43835.588476030527</v>
      </c>
      <c r="V27" s="423">
        <f t="shared" si="9"/>
        <v>43835.588476030527</v>
      </c>
      <c r="W27" s="423">
        <f t="shared" si="9"/>
        <v>43835.588476030527</v>
      </c>
      <c r="X27" s="423">
        <f t="shared" si="9"/>
        <v>43835.588476030527</v>
      </c>
      <c r="Y27" s="423">
        <f t="shared" si="9"/>
        <v>43835.588476030527</v>
      </c>
      <c r="Z27" s="423">
        <f t="shared" si="9"/>
        <v>43835.588476030527</v>
      </c>
      <c r="AA27" s="423">
        <f t="shared" si="9"/>
        <v>43835.588476030527</v>
      </c>
      <c r="AB27" s="423">
        <f t="shared" si="9"/>
        <v>43835.588476030527</v>
      </c>
      <c r="AC27" s="423">
        <f t="shared" si="9"/>
        <v>43835.588476030527</v>
      </c>
      <c r="AD27" s="423">
        <f t="shared" si="9"/>
        <v>43835.588476030527</v>
      </c>
      <c r="AE27" s="423">
        <f t="shared" si="9"/>
        <v>43835.588476030527</v>
      </c>
      <c r="AF27" s="423">
        <f t="shared" si="9"/>
        <v>43835.588476030527</v>
      </c>
      <c r="AG27" s="423">
        <f t="shared" si="9"/>
        <v>43835.588476030527</v>
      </c>
      <c r="AH27" s="423">
        <f t="shared" si="9"/>
        <v>43835.588476030527</v>
      </c>
      <c r="AI27" s="423">
        <f t="shared" si="9"/>
        <v>43835.588476030527</v>
      </c>
      <c r="AJ27" s="423">
        <f t="shared" si="9"/>
        <v>43835.588476030527</v>
      </c>
      <c r="AK27" s="423">
        <f t="shared" si="9"/>
        <v>43835.588476030527</v>
      </c>
      <c r="AL27" s="423">
        <f t="shared" si="9"/>
        <v>43835.588476030527</v>
      </c>
      <c r="AM27" s="423">
        <f t="shared" si="9"/>
        <v>43835.588476030527</v>
      </c>
      <c r="AN27" s="423">
        <f t="shared" si="9"/>
        <v>43835.588476030527</v>
      </c>
      <c r="AO27" s="423">
        <f t="shared" si="9"/>
        <v>43835.588476030527</v>
      </c>
      <c r="AP27" s="423">
        <f t="shared" si="9"/>
        <v>43835.588476030527</v>
      </c>
      <c r="AQ27" s="423">
        <f t="shared" si="9"/>
        <v>43835.588476030527</v>
      </c>
      <c r="AR27" s="423">
        <f t="shared" si="9"/>
        <v>43835.588476030527</v>
      </c>
      <c r="AS27" s="423">
        <f t="shared" si="9"/>
        <v>43835.588476030527</v>
      </c>
      <c r="AT27" s="423">
        <f t="shared" si="9"/>
        <v>43835.588476030527</v>
      </c>
      <c r="AU27" s="423">
        <f t="shared" si="9"/>
        <v>43835.588476030527</v>
      </c>
      <c r="AV27" s="423">
        <f t="shared" si="9"/>
        <v>43835.588476030527</v>
      </c>
      <c r="AW27" s="423">
        <f t="shared" si="9"/>
        <v>43835.588476030527</v>
      </c>
      <c r="AX27" s="423">
        <f t="shared" si="9"/>
        <v>43835.588476030527</v>
      </c>
      <c r="AY27" s="423">
        <f t="shared" si="9"/>
        <v>43835.588476030527</v>
      </c>
      <c r="AZ27" s="423">
        <f t="shared" si="9"/>
        <v>43835.588476030527</v>
      </c>
      <c r="BA27" s="423">
        <f t="shared" si="9"/>
        <v>43835.588476030527</v>
      </c>
      <c r="BB27" s="423">
        <f t="shared" si="9"/>
        <v>43835.588476030527</v>
      </c>
      <c r="BC27" s="423">
        <f t="shared" si="9"/>
        <v>43835.588476030527</v>
      </c>
      <c r="BD27" s="423">
        <f t="shared" si="9"/>
        <v>43835.588476030527</v>
      </c>
      <c r="BE27" s="423">
        <f t="shared" si="9"/>
        <v>43835.588476030527</v>
      </c>
      <c r="BF27" s="423">
        <f t="shared" si="9"/>
        <v>43835.588476030527</v>
      </c>
      <c r="BG27" s="423">
        <f t="shared" si="9"/>
        <v>43835.588476030527</v>
      </c>
      <c r="BH27" s="423">
        <f t="shared" si="9"/>
        <v>43835.588476030527</v>
      </c>
      <c r="BI27" s="423">
        <f>(BH27)+(BH26*BL9)</f>
        <v>43835.588476030527</v>
      </c>
      <c r="BJ27" s="423">
        <f>(BI27)+(BI26*BM9)</f>
        <v>43835.588476030527</v>
      </c>
      <c r="BK27" s="423">
        <f>(BJ27)+(BJ26*BN9)</f>
        <v>43835.588476030527</v>
      </c>
      <c r="BL27" s="404"/>
    </row>
    <row r="28" spans="1:64">
      <c r="A28" s="419">
        <f>170+1.5</f>
        <v>171.5</v>
      </c>
      <c r="B28" s="420" t="s">
        <v>421</v>
      </c>
      <c r="C28" s="421">
        <f>'3. INVESTIMENTO GLOBAL'!D11</f>
        <v>469</v>
      </c>
      <c r="D28" s="723"/>
      <c r="E28" s="724"/>
      <c r="F28" s="422">
        <v>469</v>
      </c>
      <c r="G28" s="422">
        <v>0</v>
      </c>
      <c r="H28" s="422">
        <v>0</v>
      </c>
      <c r="I28" s="422">
        <v>0</v>
      </c>
      <c r="J28" s="422">
        <v>0</v>
      </c>
      <c r="K28" s="422">
        <v>0</v>
      </c>
      <c r="L28" s="422">
        <v>0</v>
      </c>
      <c r="M28" s="422">
        <v>0</v>
      </c>
      <c r="N28" s="422">
        <v>0</v>
      </c>
      <c r="O28" s="422">
        <v>0</v>
      </c>
      <c r="P28" s="422">
        <v>0</v>
      </c>
      <c r="Q28" s="422">
        <v>0</v>
      </c>
      <c r="R28" s="414"/>
      <c r="S28" s="414"/>
      <c r="T28" s="414"/>
      <c r="U28" s="414"/>
      <c r="V28" s="414"/>
      <c r="W28" s="414"/>
      <c r="X28" s="414"/>
      <c r="Y28" s="414"/>
      <c r="Z28" s="414"/>
      <c r="AA28" s="414"/>
      <c r="AB28" s="414"/>
      <c r="AC28" s="414"/>
      <c r="AD28" s="414"/>
      <c r="AE28" s="414"/>
      <c r="AF28" s="414"/>
      <c r="AG28" s="414"/>
      <c r="AH28" s="414"/>
      <c r="AI28" s="414"/>
      <c r="AJ28" s="414"/>
      <c r="AK28" s="414"/>
      <c r="AL28" s="414"/>
      <c r="AM28" s="414"/>
      <c r="AN28" s="414"/>
      <c r="AO28" s="414"/>
      <c r="AP28" s="414"/>
      <c r="AQ28" s="414"/>
      <c r="AR28" s="414"/>
      <c r="AS28" s="414"/>
      <c r="AT28" s="414"/>
      <c r="AU28" s="414"/>
      <c r="AV28" s="414"/>
      <c r="AW28" s="414"/>
      <c r="AX28" s="414"/>
      <c r="AY28" s="414"/>
      <c r="AZ28" s="414"/>
      <c r="BA28" s="414"/>
      <c r="BB28" s="414"/>
      <c r="BC28" s="414"/>
      <c r="BD28" s="414"/>
      <c r="BE28" s="414"/>
      <c r="BF28" s="414"/>
      <c r="BG28" s="414"/>
      <c r="BH28" s="414"/>
      <c r="BI28" s="414"/>
      <c r="BJ28" s="414"/>
      <c r="BK28" s="414"/>
    </row>
    <row r="29" spans="1:64">
      <c r="B29" s="291" t="s">
        <v>416</v>
      </c>
      <c r="C29" s="409">
        <f>SUM(F29:BK29)</f>
        <v>2147569.8446680498</v>
      </c>
      <c r="D29" s="725"/>
      <c r="E29" s="726"/>
      <c r="F29" s="414"/>
      <c r="G29" s="423">
        <f>SUM($E28:F28)*$J$10</f>
        <v>37676.663941544764</v>
      </c>
      <c r="H29" s="423">
        <f>(G29)+(G28*K10)</f>
        <v>37676.663941544764</v>
      </c>
      <c r="I29" s="423">
        <f t="shared" ref="I29:BH29" si="10">(H29)+(H28*L10)</f>
        <v>37676.663941544764</v>
      </c>
      <c r="J29" s="423">
        <f t="shared" si="10"/>
        <v>37676.663941544764</v>
      </c>
      <c r="K29" s="423">
        <f t="shared" si="10"/>
        <v>37676.663941544764</v>
      </c>
      <c r="L29" s="423">
        <f t="shared" si="10"/>
        <v>37676.663941544764</v>
      </c>
      <c r="M29" s="423">
        <f t="shared" si="10"/>
        <v>37676.663941544764</v>
      </c>
      <c r="N29" s="423">
        <f t="shared" si="10"/>
        <v>37676.663941544764</v>
      </c>
      <c r="O29" s="423">
        <f t="shared" si="10"/>
        <v>37676.663941544764</v>
      </c>
      <c r="P29" s="423">
        <f t="shared" si="10"/>
        <v>37676.663941544764</v>
      </c>
      <c r="Q29" s="423">
        <f t="shared" si="10"/>
        <v>37676.663941544764</v>
      </c>
      <c r="R29" s="423">
        <f t="shared" si="10"/>
        <v>37676.663941544764</v>
      </c>
      <c r="S29" s="423">
        <f t="shared" si="10"/>
        <v>37676.663941544764</v>
      </c>
      <c r="T29" s="423">
        <f t="shared" si="10"/>
        <v>37676.663941544764</v>
      </c>
      <c r="U29" s="423">
        <f t="shared" si="10"/>
        <v>37676.663941544764</v>
      </c>
      <c r="V29" s="423">
        <f t="shared" si="10"/>
        <v>37676.663941544764</v>
      </c>
      <c r="W29" s="423">
        <f t="shared" si="10"/>
        <v>37676.663941544764</v>
      </c>
      <c r="X29" s="423">
        <f t="shared" si="10"/>
        <v>37676.663941544764</v>
      </c>
      <c r="Y29" s="423">
        <f t="shared" si="10"/>
        <v>37676.663941544764</v>
      </c>
      <c r="Z29" s="423">
        <f t="shared" si="10"/>
        <v>37676.663941544764</v>
      </c>
      <c r="AA29" s="423">
        <f t="shared" si="10"/>
        <v>37676.663941544764</v>
      </c>
      <c r="AB29" s="423">
        <f t="shared" si="10"/>
        <v>37676.663941544764</v>
      </c>
      <c r="AC29" s="423">
        <f t="shared" si="10"/>
        <v>37676.663941544764</v>
      </c>
      <c r="AD29" s="423">
        <f t="shared" si="10"/>
        <v>37676.663941544764</v>
      </c>
      <c r="AE29" s="423">
        <f t="shared" si="10"/>
        <v>37676.663941544764</v>
      </c>
      <c r="AF29" s="423">
        <f t="shared" si="10"/>
        <v>37676.663941544764</v>
      </c>
      <c r="AG29" s="423">
        <f t="shared" si="10"/>
        <v>37676.663941544764</v>
      </c>
      <c r="AH29" s="423">
        <f t="shared" si="10"/>
        <v>37676.663941544764</v>
      </c>
      <c r="AI29" s="423">
        <f t="shared" si="10"/>
        <v>37676.663941544764</v>
      </c>
      <c r="AJ29" s="423">
        <f t="shared" si="10"/>
        <v>37676.663941544764</v>
      </c>
      <c r="AK29" s="423">
        <f t="shared" si="10"/>
        <v>37676.663941544764</v>
      </c>
      <c r="AL29" s="423">
        <f t="shared" si="10"/>
        <v>37676.663941544764</v>
      </c>
      <c r="AM29" s="423">
        <f t="shared" si="10"/>
        <v>37676.663941544764</v>
      </c>
      <c r="AN29" s="423">
        <f t="shared" si="10"/>
        <v>37676.663941544764</v>
      </c>
      <c r="AO29" s="423">
        <f t="shared" si="10"/>
        <v>37676.663941544764</v>
      </c>
      <c r="AP29" s="423">
        <f t="shared" si="10"/>
        <v>37676.663941544764</v>
      </c>
      <c r="AQ29" s="423">
        <f t="shared" si="10"/>
        <v>37676.663941544764</v>
      </c>
      <c r="AR29" s="423">
        <f t="shared" si="10"/>
        <v>37676.663941544764</v>
      </c>
      <c r="AS29" s="423">
        <f t="shared" si="10"/>
        <v>37676.663941544764</v>
      </c>
      <c r="AT29" s="423">
        <f t="shared" si="10"/>
        <v>37676.663941544764</v>
      </c>
      <c r="AU29" s="423">
        <f t="shared" si="10"/>
        <v>37676.663941544764</v>
      </c>
      <c r="AV29" s="423">
        <f t="shared" si="10"/>
        <v>37676.663941544764</v>
      </c>
      <c r="AW29" s="423">
        <f t="shared" si="10"/>
        <v>37676.663941544764</v>
      </c>
      <c r="AX29" s="423">
        <f t="shared" si="10"/>
        <v>37676.663941544764</v>
      </c>
      <c r="AY29" s="423">
        <f t="shared" si="10"/>
        <v>37676.663941544764</v>
      </c>
      <c r="AZ29" s="423">
        <f t="shared" si="10"/>
        <v>37676.663941544764</v>
      </c>
      <c r="BA29" s="423">
        <f t="shared" si="10"/>
        <v>37676.663941544764</v>
      </c>
      <c r="BB29" s="423">
        <f t="shared" si="10"/>
        <v>37676.663941544764</v>
      </c>
      <c r="BC29" s="423">
        <f t="shared" si="10"/>
        <v>37676.663941544764</v>
      </c>
      <c r="BD29" s="423">
        <f t="shared" si="10"/>
        <v>37676.663941544764</v>
      </c>
      <c r="BE29" s="423">
        <f t="shared" si="10"/>
        <v>37676.663941544764</v>
      </c>
      <c r="BF29" s="423">
        <f t="shared" si="10"/>
        <v>37676.663941544764</v>
      </c>
      <c r="BG29" s="423">
        <f t="shared" si="10"/>
        <v>37676.663941544764</v>
      </c>
      <c r="BH29" s="423">
        <f t="shared" si="10"/>
        <v>37676.663941544764</v>
      </c>
      <c r="BI29" s="423">
        <f>(BH29)+(BH28*BL10)</f>
        <v>37676.663941544764</v>
      </c>
      <c r="BJ29" s="423">
        <f>(BI29)+(BI28*BM10)</f>
        <v>37676.663941544764</v>
      </c>
      <c r="BK29" s="423">
        <f>(BJ29)+(BJ28*BN10)</f>
        <v>37676.663941544764</v>
      </c>
      <c r="BL29" s="404"/>
    </row>
    <row r="30" spans="1:64">
      <c r="C30" s="424"/>
      <c r="G30" s="404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  <c r="T30" s="404"/>
      <c r="U30" s="404"/>
      <c r="V30" s="404"/>
      <c r="W30" s="404"/>
      <c r="X30" s="404"/>
      <c r="Y30" s="404"/>
      <c r="Z30" s="404"/>
      <c r="AA30" s="404"/>
      <c r="AB30" s="404"/>
      <c r="AC30" s="404"/>
      <c r="AD30" s="404"/>
      <c r="AE30" s="404"/>
      <c r="AF30" s="404"/>
      <c r="AG30" s="404"/>
      <c r="AH30" s="404"/>
      <c r="AI30" s="404"/>
      <c r="AJ30" s="404"/>
      <c r="AK30" s="404"/>
      <c r="AL30" s="404"/>
      <c r="AM30" s="404"/>
      <c r="AN30" s="404"/>
      <c r="AO30" s="404"/>
      <c r="AP30" s="404"/>
      <c r="AQ30" s="404"/>
      <c r="AR30" s="404"/>
      <c r="AS30" s="404"/>
      <c r="AT30" s="404"/>
      <c r="AU30" s="404"/>
      <c r="AV30" s="404"/>
      <c r="AW30" s="404"/>
      <c r="AX30" s="404"/>
      <c r="AY30" s="404"/>
      <c r="AZ30" s="404"/>
      <c r="BA30" s="404"/>
      <c r="BB30" s="404"/>
      <c r="BC30" s="404"/>
      <c r="BD30" s="404"/>
      <c r="BE30" s="404"/>
      <c r="BF30" s="404"/>
      <c r="BG30" s="404"/>
      <c r="BH30" s="404"/>
      <c r="BI30" s="404"/>
      <c r="BJ30" s="404"/>
      <c r="BK30" s="404"/>
      <c r="BL30" s="404"/>
    </row>
    <row r="31" spans="1:64">
      <c r="B31" s="425" t="s">
        <v>422</v>
      </c>
      <c r="C31" s="426">
        <f>'3. INVESTIMENTO GLOBAL'!D12</f>
        <v>6845</v>
      </c>
      <c r="D31" s="721" t="s">
        <v>415</v>
      </c>
      <c r="E31" s="722"/>
      <c r="F31" s="427">
        <f>F38-(F33+(2*F35))</f>
        <v>931</v>
      </c>
      <c r="G31" s="427">
        <f t="shared" ref="G31:P31" si="11">G38-(G33+(2*G35))</f>
        <v>1100</v>
      </c>
      <c r="H31" s="427">
        <v>1500</v>
      </c>
      <c r="I31" s="427">
        <v>1650</v>
      </c>
      <c r="J31" s="427">
        <v>1664</v>
      </c>
      <c r="K31" s="427">
        <f t="shared" si="11"/>
        <v>0</v>
      </c>
      <c r="L31" s="427">
        <f t="shared" si="11"/>
        <v>0</v>
      </c>
      <c r="M31" s="427">
        <f>M38-(M33+(2*M35))</f>
        <v>0</v>
      </c>
      <c r="N31" s="427">
        <f t="shared" si="11"/>
        <v>0</v>
      </c>
      <c r="O31" s="427">
        <f t="shared" si="11"/>
        <v>0</v>
      </c>
      <c r="P31" s="427">
        <f t="shared" si="11"/>
        <v>0</v>
      </c>
      <c r="Q31" s="427">
        <f>Q38-(Q33+(2*Q35))</f>
        <v>0</v>
      </c>
      <c r="R31" s="427">
        <f>R38-(R33+(2*R35))</f>
        <v>0</v>
      </c>
      <c r="S31" s="423"/>
      <c r="T31" s="423"/>
      <c r="U31" s="423"/>
      <c r="V31" s="423"/>
      <c r="W31" s="423"/>
      <c r="X31" s="423"/>
      <c r="Y31" s="423"/>
      <c r="Z31" s="423"/>
      <c r="AA31" s="423"/>
      <c r="AB31" s="423"/>
      <c r="AC31" s="423"/>
      <c r="AD31" s="423"/>
      <c r="AE31" s="423"/>
      <c r="AF31" s="423"/>
      <c r="AG31" s="423"/>
      <c r="AH31" s="423"/>
      <c r="AI31" s="423"/>
      <c r="AJ31" s="423"/>
      <c r="AK31" s="423"/>
      <c r="AL31" s="423"/>
      <c r="AM31" s="423"/>
      <c r="AN31" s="423"/>
      <c r="AO31" s="423"/>
      <c r="AP31" s="423"/>
      <c r="AQ31" s="423"/>
      <c r="AR31" s="423"/>
      <c r="AS31" s="423"/>
      <c r="AT31" s="423"/>
      <c r="AU31" s="423"/>
      <c r="AV31" s="423"/>
      <c r="AW31" s="423"/>
      <c r="AX31" s="423"/>
      <c r="AY31" s="423"/>
      <c r="AZ31" s="423"/>
      <c r="BA31" s="423"/>
      <c r="BB31" s="423"/>
      <c r="BC31" s="423"/>
      <c r="BD31" s="423"/>
      <c r="BE31" s="423"/>
      <c r="BF31" s="423"/>
      <c r="BG31" s="423"/>
      <c r="BH31" s="423"/>
      <c r="BI31" s="423"/>
      <c r="BJ31" s="423"/>
      <c r="BK31" s="423"/>
      <c r="BL31" s="404"/>
    </row>
    <row r="32" spans="1:64">
      <c r="B32" s="408" t="s">
        <v>423</v>
      </c>
      <c r="C32" s="409">
        <f>SUM(F32:BK32)</f>
        <v>5169708.7620146619</v>
      </c>
      <c r="D32" s="723"/>
      <c r="E32" s="724"/>
      <c r="F32" s="414"/>
      <c r="G32" s="423">
        <f>SUM($E31:F31)*$J$11</f>
        <v>12335.75</v>
      </c>
      <c r="H32" s="423">
        <f>(G32)+(G31*K11)</f>
        <v>27163.75</v>
      </c>
      <c r="I32" s="423">
        <f t="shared" ref="I32:BH32" si="12">(H32)+(H31*L11)</f>
        <v>47763.910584741447</v>
      </c>
      <c r="J32" s="423">
        <f t="shared" si="12"/>
        <v>70843.720128757326</v>
      </c>
      <c r="K32" s="423">
        <f t="shared" si="12"/>
        <v>94558.521345304966</v>
      </c>
      <c r="L32" s="423">
        <f t="shared" si="12"/>
        <v>94558.521345304966</v>
      </c>
      <c r="M32" s="423">
        <f t="shared" si="12"/>
        <v>94558.521345304966</v>
      </c>
      <c r="N32" s="423">
        <f t="shared" si="12"/>
        <v>94558.521345304966</v>
      </c>
      <c r="O32" s="423">
        <f t="shared" si="12"/>
        <v>94558.521345304966</v>
      </c>
      <c r="P32" s="423">
        <f t="shared" si="12"/>
        <v>94558.521345304966</v>
      </c>
      <c r="Q32" s="423">
        <f t="shared" si="12"/>
        <v>94558.521345304966</v>
      </c>
      <c r="R32" s="423">
        <f t="shared" si="12"/>
        <v>94558.521345304966</v>
      </c>
      <c r="S32" s="423">
        <f t="shared" si="12"/>
        <v>94558.521345304966</v>
      </c>
      <c r="T32" s="423">
        <f t="shared" si="12"/>
        <v>94558.521345304966</v>
      </c>
      <c r="U32" s="423">
        <f t="shared" si="12"/>
        <v>94558.521345304966</v>
      </c>
      <c r="V32" s="423">
        <f t="shared" si="12"/>
        <v>94558.521345304966</v>
      </c>
      <c r="W32" s="423">
        <f t="shared" si="12"/>
        <v>94558.521345304966</v>
      </c>
      <c r="X32" s="423">
        <f t="shared" si="12"/>
        <v>94558.521345304966</v>
      </c>
      <c r="Y32" s="423">
        <f t="shared" si="12"/>
        <v>94558.521345304966</v>
      </c>
      <c r="Z32" s="423">
        <f t="shared" si="12"/>
        <v>94558.521345304966</v>
      </c>
      <c r="AA32" s="423">
        <f t="shared" si="12"/>
        <v>94558.521345304966</v>
      </c>
      <c r="AB32" s="423">
        <f t="shared" si="12"/>
        <v>94558.521345304966</v>
      </c>
      <c r="AC32" s="423">
        <f t="shared" si="12"/>
        <v>94558.521345304966</v>
      </c>
      <c r="AD32" s="423">
        <f t="shared" si="12"/>
        <v>94558.521345304966</v>
      </c>
      <c r="AE32" s="423">
        <f t="shared" si="12"/>
        <v>94558.521345304966</v>
      </c>
      <c r="AF32" s="423">
        <f t="shared" si="12"/>
        <v>94558.521345304966</v>
      </c>
      <c r="AG32" s="423">
        <f t="shared" si="12"/>
        <v>94558.521345304966</v>
      </c>
      <c r="AH32" s="423">
        <f t="shared" si="12"/>
        <v>94558.521345304966</v>
      </c>
      <c r="AI32" s="423">
        <f t="shared" si="12"/>
        <v>94558.521345304966</v>
      </c>
      <c r="AJ32" s="423">
        <f t="shared" si="12"/>
        <v>94558.521345304966</v>
      </c>
      <c r="AK32" s="423">
        <f t="shared" si="12"/>
        <v>94558.521345304966</v>
      </c>
      <c r="AL32" s="423">
        <f t="shared" si="12"/>
        <v>94558.521345304966</v>
      </c>
      <c r="AM32" s="423">
        <f t="shared" si="12"/>
        <v>94558.521345304966</v>
      </c>
      <c r="AN32" s="423">
        <f t="shared" si="12"/>
        <v>94558.521345304966</v>
      </c>
      <c r="AO32" s="423">
        <f t="shared" si="12"/>
        <v>94558.521345304966</v>
      </c>
      <c r="AP32" s="423">
        <f t="shared" si="12"/>
        <v>94558.521345304966</v>
      </c>
      <c r="AQ32" s="423">
        <f t="shared" si="12"/>
        <v>94558.521345304966</v>
      </c>
      <c r="AR32" s="423">
        <f t="shared" si="12"/>
        <v>94558.521345304966</v>
      </c>
      <c r="AS32" s="423">
        <f t="shared" si="12"/>
        <v>94558.521345304966</v>
      </c>
      <c r="AT32" s="423">
        <f t="shared" si="12"/>
        <v>94558.521345304966</v>
      </c>
      <c r="AU32" s="423">
        <f t="shared" si="12"/>
        <v>94558.521345304966</v>
      </c>
      <c r="AV32" s="423">
        <f t="shared" si="12"/>
        <v>94558.521345304966</v>
      </c>
      <c r="AW32" s="423">
        <f t="shared" si="12"/>
        <v>94558.521345304966</v>
      </c>
      <c r="AX32" s="423">
        <f t="shared" si="12"/>
        <v>94558.521345304966</v>
      </c>
      <c r="AY32" s="423">
        <f t="shared" si="12"/>
        <v>94558.521345304966</v>
      </c>
      <c r="AZ32" s="423">
        <f t="shared" si="12"/>
        <v>94558.521345304966</v>
      </c>
      <c r="BA32" s="423">
        <f t="shared" si="12"/>
        <v>94558.521345304966</v>
      </c>
      <c r="BB32" s="423">
        <f t="shared" si="12"/>
        <v>94558.521345304966</v>
      </c>
      <c r="BC32" s="423">
        <f t="shared" si="12"/>
        <v>94558.521345304966</v>
      </c>
      <c r="BD32" s="423">
        <f t="shared" si="12"/>
        <v>94558.521345304966</v>
      </c>
      <c r="BE32" s="423">
        <f t="shared" si="12"/>
        <v>94558.521345304966</v>
      </c>
      <c r="BF32" s="423">
        <f t="shared" si="12"/>
        <v>94558.521345304966</v>
      </c>
      <c r="BG32" s="423">
        <f t="shared" si="12"/>
        <v>94558.521345304966</v>
      </c>
      <c r="BH32" s="423">
        <f t="shared" si="12"/>
        <v>94558.521345304966</v>
      </c>
      <c r="BI32" s="423">
        <f>(BH32)+(BH31*BL11)</f>
        <v>94558.521345304966</v>
      </c>
      <c r="BJ32" s="423">
        <f>(BI32)+(BI31*BM11)</f>
        <v>94558.521345304966</v>
      </c>
      <c r="BK32" s="423">
        <f>(BJ32)+(BJ31*BN11)</f>
        <v>94558.521345304966</v>
      </c>
      <c r="BL32" s="404"/>
    </row>
    <row r="33" spans="2:64">
      <c r="B33" s="425" t="s">
        <v>424</v>
      </c>
      <c r="C33" s="426">
        <f>'3. INVESTIMENTO GLOBAL'!D13</f>
        <v>469</v>
      </c>
      <c r="D33" s="723"/>
      <c r="E33" s="724"/>
      <c r="F33" s="422">
        <v>269</v>
      </c>
      <c r="G33" s="422">
        <v>200</v>
      </c>
      <c r="H33" s="422">
        <v>0</v>
      </c>
      <c r="I33" s="422">
        <v>0</v>
      </c>
      <c r="J33" s="422">
        <v>0</v>
      </c>
      <c r="K33" s="422">
        <v>0</v>
      </c>
      <c r="L33" s="422">
        <v>0</v>
      </c>
      <c r="M33" s="422">
        <v>0</v>
      </c>
      <c r="N33" s="422">
        <v>0</v>
      </c>
      <c r="O33" s="422">
        <v>0</v>
      </c>
      <c r="P33" s="423">
        <v>0</v>
      </c>
      <c r="Q33" s="423">
        <v>0</v>
      </c>
      <c r="R33" s="423"/>
      <c r="S33" s="423"/>
      <c r="T33" s="423"/>
      <c r="U33" s="423"/>
      <c r="V33" s="423"/>
      <c r="W33" s="423"/>
      <c r="X33" s="423"/>
      <c r="Y33" s="423"/>
      <c r="Z33" s="423"/>
      <c r="AA33" s="423"/>
      <c r="AB33" s="423"/>
      <c r="AC33" s="423"/>
      <c r="AD33" s="423"/>
      <c r="AE33" s="423"/>
      <c r="AF33" s="423"/>
      <c r="AG33" s="423"/>
      <c r="AH33" s="423"/>
      <c r="AI33" s="423"/>
      <c r="AJ33" s="423"/>
      <c r="AK33" s="423"/>
      <c r="AL33" s="423"/>
      <c r="AM33" s="423"/>
      <c r="AN33" s="423"/>
      <c r="AO33" s="423"/>
      <c r="AP33" s="423"/>
      <c r="AQ33" s="423"/>
      <c r="AR33" s="423"/>
      <c r="AS33" s="423"/>
      <c r="AT33" s="423"/>
      <c r="AU33" s="423"/>
      <c r="AV33" s="423"/>
      <c r="AW33" s="423"/>
      <c r="AX33" s="423"/>
      <c r="AY33" s="423"/>
      <c r="AZ33" s="423"/>
      <c r="BA33" s="423"/>
      <c r="BB33" s="423"/>
      <c r="BC33" s="423"/>
      <c r="BD33" s="423"/>
      <c r="BE33" s="423"/>
      <c r="BF33" s="423"/>
      <c r="BG33" s="423"/>
      <c r="BH33" s="423"/>
      <c r="BI33" s="423"/>
      <c r="BJ33" s="423"/>
      <c r="BK33" s="423"/>
      <c r="BL33" s="404"/>
    </row>
    <row r="34" spans="2:64">
      <c r="B34" s="408" t="s">
        <v>423</v>
      </c>
      <c r="C34" s="409">
        <f>SUM(F34:BK34)</f>
        <v>433347.9299999997</v>
      </c>
      <c r="D34" s="723"/>
      <c r="E34" s="724"/>
      <c r="F34" s="414"/>
      <c r="G34" s="423">
        <f>SUM($E33:F33)*$J$12</f>
        <v>4360.49</v>
      </c>
      <c r="H34" s="423">
        <f>(G34)+(G33*K12)</f>
        <v>7660.49</v>
      </c>
      <c r="I34" s="423">
        <f t="shared" ref="I34:BH34" si="13">(H34)+(H33*L12)</f>
        <v>7660.49</v>
      </c>
      <c r="J34" s="423">
        <f t="shared" si="13"/>
        <v>7660.49</v>
      </c>
      <c r="K34" s="423">
        <f t="shared" si="13"/>
        <v>7660.49</v>
      </c>
      <c r="L34" s="423">
        <f t="shared" si="13"/>
        <v>7660.49</v>
      </c>
      <c r="M34" s="423">
        <f t="shared" si="13"/>
        <v>7660.49</v>
      </c>
      <c r="N34" s="423">
        <f t="shared" si="13"/>
        <v>7660.49</v>
      </c>
      <c r="O34" s="423">
        <f t="shared" si="13"/>
        <v>7660.49</v>
      </c>
      <c r="P34" s="423">
        <f t="shared" si="13"/>
        <v>7660.49</v>
      </c>
      <c r="Q34" s="423">
        <f t="shared" si="13"/>
        <v>7660.49</v>
      </c>
      <c r="R34" s="423">
        <f t="shared" si="13"/>
        <v>7660.49</v>
      </c>
      <c r="S34" s="423">
        <f t="shared" si="13"/>
        <v>7660.49</v>
      </c>
      <c r="T34" s="423">
        <f t="shared" si="13"/>
        <v>7660.49</v>
      </c>
      <c r="U34" s="423">
        <f t="shared" si="13"/>
        <v>7660.49</v>
      </c>
      <c r="V34" s="423">
        <f t="shared" si="13"/>
        <v>7660.49</v>
      </c>
      <c r="W34" s="423">
        <f t="shared" si="13"/>
        <v>7660.49</v>
      </c>
      <c r="X34" s="423">
        <f t="shared" si="13"/>
        <v>7660.49</v>
      </c>
      <c r="Y34" s="423">
        <f t="shared" si="13"/>
        <v>7660.49</v>
      </c>
      <c r="Z34" s="423">
        <f t="shared" si="13"/>
        <v>7660.49</v>
      </c>
      <c r="AA34" s="423">
        <f t="shared" si="13"/>
        <v>7660.49</v>
      </c>
      <c r="AB34" s="423">
        <f t="shared" si="13"/>
        <v>7660.49</v>
      </c>
      <c r="AC34" s="423">
        <f t="shared" si="13"/>
        <v>7660.49</v>
      </c>
      <c r="AD34" s="423">
        <f t="shared" si="13"/>
        <v>7660.49</v>
      </c>
      <c r="AE34" s="423">
        <f t="shared" si="13"/>
        <v>7660.49</v>
      </c>
      <c r="AF34" s="423">
        <f t="shared" si="13"/>
        <v>7660.49</v>
      </c>
      <c r="AG34" s="423">
        <f t="shared" si="13"/>
        <v>7660.49</v>
      </c>
      <c r="AH34" s="423">
        <f t="shared" si="13"/>
        <v>7660.49</v>
      </c>
      <c r="AI34" s="423">
        <f t="shared" si="13"/>
        <v>7660.49</v>
      </c>
      <c r="AJ34" s="423">
        <f t="shared" si="13"/>
        <v>7660.49</v>
      </c>
      <c r="AK34" s="423">
        <f t="shared" si="13"/>
        <v>7660.49</v>
      </c>
      <c r="AL34" s="423">
        <f t="shared" si="13"/>
        <v>7660.49</v>
      </c>
      <c r="AM34" s="423">
        <f t="shared" si="13"/>
        <v>7660.49</v>
      </c>
      <c r="AN34" s="423">
        <f t="shared" si="13"/>
        <v>7660.49</v>
      </c>
      <c r="AO34" s="423">
        <f t="shared" si="13"/>
        <v>7660.49</v>
      </c>
      <c r="AP34" s="423">
        <f t="shared" si="13"/>
        <v>7660.49</v>
      </c>
      <c r="AQ34" s="423">
        <f t="shared" si="13"/>
        <v>7660.49</v>
      </c>
      <c r="AR34" s="423">
        <f t="shared" si="13"/>
        <v>7660.49</v>
      </c>
      <c r="AS34" s="423">
        <f t="shared" si="13"/>
        <v>7660.49</v>
      </c>
      <c r="AT34" s="423">
        <f t="shared" si="13"/>
        <v>7660.49</v>
      </c>
      <c r="AU34" s="423">
        <f t="shared" si="13"/>
        <v>7660.49</v>
      </c>
      <c r="AV34" s="423">
        <f t="shared" si="13"/>
        <v>7660.49</v>
      </c>
      <c r="AW34" s="423">
        <f t="shared" si="13"/>
        <v>7660.49</v>
      </c>
      <c r="AX34" s="423">
        <f t="shared" si="13"/>
        <v>7660.49</v>
      </c>
      <c r="AY34" s="423">
        <f t="shared" si="13"/>
        <v>7660.49</v>
      </c>
      <c r="AZ34" s="423">
        <f t="shared" si="13"/>
        <v>7660.49</v>
      </c>
      <c r="BA34" s="423">
        <f t="shared" si="13"/>
        <v>7660.49</v>
      </c>
      <c r="BB34" s="423">
        <f t="shared" si="13"/>
        <v>7660.49</v>
      </c>
      <c r="BC34" s="423">
        <f t="shared" si="13"/>
        <v>7660.49</v>
      </c>
      <c r="BD34" s="423">
        <f t="shared" si="13"/>
        <v>7660.49</v>
      </c>
      <c r="BE34" s="423">
        <f t="shared" si="13"/>
        <v>7660.49</v>
      </c>
      <c r="BF34" s="423">
        <f t="shared" si="13"/>
        <v>7660.49</v>
      </c>
      <c r="BG34" s="423">
        <f t="shared" si="13"/>
        <v>7660.49</v>
      </c>
      <c r="BH34" s="423">
        <f t="shared" si="13"/>
        <v>7660.49</v>
      </c>
      <c r="BI34" s="423">
        <f>(BH34)+(BH33*BL12)</f>
        <v>7660.49</v>
      </c>
      <c r="BJ34" s="423">
        <f>(BI34)+(BI33*BM12)</f>
        <v>7660.49</v>
      </c>
      <c r="BK34" s="423">
        <f>(BJ34)+(BJ33*BN12)</f>
        <v>7660.49</v>
      </c>
    </row>
    <row r="35" spans="2:64">
      <c r="B35" s="425" t="s">
        <v>425</v>
      </c>
      <c r="C35" s="426">
        <f>'3. INVESTIMENTO GLOBAL'!D14</f>
        <v>50</v>
      </c>
      <c r="D35" s="723"/>
      <c r="E35" s="724"/>
      <c r="F35" s="422">
        <v>50</v>
      </c>
      <c r="G35" s="422">
        <v>0</v>
      </c>
      <c r="H35" s="422">
        <v>0</v>
      </c>
      <c r="I35" s="422">
        <v>0</v>
      </c>
      <c r="J35" s="422">
        <v>0</v>
      </c>
      <c r="K35" s="422">
        <v>0</v>
      </c>
      <c r="L35" s="422">
        <v>0</v>
      </c>
      <c r="M35" s="422">
        <v>0</v>
      </c>
      <c r="N35" s="422">
        <v>0</v>
      </c>
      <c r="O35" s="422">
        <v>0</v>
      </c>
      <c r="P35" s="422">
        <v>0</v>
      </c>
      <c r="Q35" s="422">
        <v>0</v>
      </c>
      <c r="R35" s="414"/>
      <c r="S35" s="414"/>
      <c r="T35" s="414"/>
      <c r="U35" s="414"/>
      <c r="V35" s="414"/>
      <c r="W35" s="414"/>
      <c r="X35" s="414"/>
      <c r="Y35" s="414"/>
      <c r="Z35" s="414"/>
      <c r="AA35" s="414"/>
      <c r="AB35" s="414"/>
      <c r="AC35" s="414"/>
      <c r="AD35" s="414"/>
      <c r="AE35" s="414"/>
      <c r="AF35" s="414"/>
      <c r="AG35" s="414"/>
      <c r="AH35" s="414"/>
      <c r="AI35" s="414"/>
      <c r="AJ35" s="414"/>
      <c r="AK35" s="414"/>
      <c r="AL35" s="414"/>
      <c r="AM35" s="414"/>
      <c r="AN35" s="414"/>
      <c r="AO35" s="414"/>
      <c r="AP35" s="414"/>
      <c r="AQ35" s="414"/>
      <c r="AR35" s="414"/>
      <c r="AS35" s="414"/>
      <c r="AT35" s="414"/>
      <c r="AU35" s="414"/>
      <c r="AV35" s="414"/>
      <c r="AW35" s="414"/>
      <c r="AX35" s="414"/>
      <c r="AY35" s="414"/>
      <c r="AZ35" s="414"/>
      <c r="BA35" s="414"/>
      <c r="BB35" s="414"/>
      <c r="BC35" s="414"/>
      <c r="BD35" s="414"/>
      <c r="BE35" s="414"/>
      <c r="BF35" s="414"/>
      <c r="BG35" s="414"/>
      <c r="BH35" s="414"/>
      <c r="BI35" s="414"/>
      <c r="BJ35" s="414"/>
      <c r="BK35" s="414"/>
    </row>
    <row r="36" spans="2:64">
      <c r="B36" s="408" t="s">
        <v>423</v>
      </c>
      <c r="C36" s="409">
        <f>SUM(F36:BK36)</f>
        <v>25365</v>
      </c>
      <c r="D36" s="725"/>
      <c r="E36" s="726"/>
      <c r="F36" s="414"/>
      <c r="G36" s="423">
        <f>SUM($E35:F35)*$J$13</f>
        <v>445</v>
      </c>
      <c r="H36" s="423">
        <f>(G36)+(G35*K13)</f>
        <v>445</v>
      </c>
      <c r="I36" s="423">
        <f>(H36)+(H35*L13)</f>
        <v>445</v>
      </c>
      <c r="J36" s="423">
        <f>(I36)+(I35*M13)</f>
        <v>445</v>
      </c>
      <c r="K36" s="423">
        <f>(J36)+(J35*N13)</f>
        <v>445</v>
      </c>
      <c r="L36" s="423">
        <f t="shared" ref="L36:BH36" si="14">(K36)+(K35*O13)</f>
        <v>445</v>
      </c>
      <c r="M36" s="423">
        <f t="shared" si="14"/>
        <v>445</v>
      </c>
      <c r="N36" s="423">
        <f t="shared" si="14"/>
        <v>445</v>
      </c>
      <c r="O36" s="423">
        <f t="shared" si="14"/>
        <v>445</v>
      </c>
      <c r="P36" s="423">
        <f t="shared" si="14"/>
        <v>445</v>
      </c>
      <c r="Q36" s="423">
        <f t="shared" si="14"/>
        <v>445</v>
      </c>
      <c r="R36" s="423">
        <f t="shared" si="14"/>
        <v>445</v>
      </c>
      <c r="S36" s="423">
        <f t="shared" si="14"/>
        <v>445</v>
      </c>
      <c r="T36" s="423">
        <f t="shared" si="14"/>
        <v>445</v>
      </c>
      <c r="U36" s="423">
        <f t="shared" si="14"/>
        <v>445</v>
      </c>
      <c r="V36" s="423">
        <f t="shared" si="14"/>
        <v>445</v>
      </c>
      <c r="W36" s="423">
        <f t="shared" si="14"/>
        <v>445</v>
      </c>
      <c r="X36" s="423">
        <f t="shared" si="14"/>
        <v>445</v>
      </c>
      <c r="Y36" s="423">
        <f t="shared" si="14"/>
        <v>445</v>
      </c>
      <c r="Z36" s="423">
        <f t="shared" si="14"/>
        <v>445</v>
      </c>
      <c r="AA36" s="423">
        <f t="shared" si="14"/>
        <v>445</v>
      </c>
      <c r="AB36" s="423">
        <f t="shared" si="14"/>
        <v>445</v>
      </c>
      <c r="AC36" s="423">
        <f t="shared" si="14"/>
        <v>445</v>
      </c>
      <c r="AD36" s="423">
        <f t="shared" si="14"/>
        <v>445</v>
      </c>
      <c r="AE36" s="423">
        <f t="shared" si="14"/>
        <v>445</v>
      </c>
      <c r="AF36" s="423">
        <f t="shared" si="14"/>
        <v>445</v>
      </c>
      <c r="AG36" s="423">
        <f t="shared" si="14"/>
        <v>445</v>
      </c>
      <c r="AH36" s="423">
        <f t="shared" si="14"/>
        <v>445</v>
      </c>
      <c r="AI36" s="423">
        <f t="shared" si="14"/>
        <v>445</v>
      </c>
      <c r="AJ36" s="423">
        <f t="shared" si="14"/>
        <v>445</v>
      </c>
      <c r="AK36" s="423">
        <f t="shared" si="14"/>
        <v>445</v>
      </c>
      <c r="AL36" s="423">
        <f t="shared" si="14"/>
        <v>445</v>
      </c>
      <c r="AM36" s="423">
        <f t="shared" si="14"/>
        <v>445</v>
      </c>
      <c r="AN36" s="423">
        <f t="shared" si="14"/>
        <v>445</v>
      </c>
      <c r="AO36" s="423">
        <f t="shared" si="14"/>
        <v>445</v>
      </c>
      <c r="AP36" s="423">
        <f t="shared" si="14"/>
        <v>445</v>
      </c>
      <c r="AQ36" s="423">
        <f t="shared" si="14"/>
        <v>445</v>
      </c>
      <c r="AR36" s="423">
        <f t="shared" si="14"/>
        <v>445</v>
      </c>
      <c r="AS36" s="423">
        <f t="shared" si="14"/>
        <v>445</v>
      </c>
      <c r="AT36" s="423">
        <f t="shared" si="14"/>
        <v>445</v>
      </c>
      <c r="AU36" s="423">
        <f t="shared" si="14"/>
        <v>445</v>
      </c>
      <c r="AV36" s="423">
        <f t="shared" si="14"/>
        <v>445</v>
      </c>
      <c r="AW36" s="423">
        <f t="shared" si="14"/>
        <v>445</v>
      </c>
      <c r="AX36" s="423">
        <f t="shared" si="14"/>
        <v>445</v>
      </c>
      <c r="AY36" s="423">
        <f t="shared" si="14"/>
        <v>445</v>
      </c>
      <c r="AZ36" s="423">
        <f t="shared" si="14"/>
        <v>445</v>
      </c>
      <c r="BA36" s="423">
        <f t="shared" si="14"/>
        <v>445</v>
      </c>
      <c r="BB36" s="423">
        <f t="shared" si="14"/>
        <v>445</v>
      </c>
      <c r="BC36" s="423">
        <f t="shared" si="14"/>
        <v>445</v>
      </c>
      <c r="BD36" s="423">
        <f t="shared" si="14"/>
        <v>445</v>
      </c>
      <c r="BE36" s="423">
        <f t="shared" si="14"/>
        <v>445</v>
      </c>
      <c r="BF36" s="423">
        <f t="shared" si="14"/>
        <v>445</v>
      </c>
      <c r="BG36" s="423">
        <f t="shared" si="14"/>
        <v>445</v>
      </c>
      <c r="BH36" s="423">
        <f t="shared" si="14"/>
        <v>445</v>
      </c>
      <c r="BI36" s="423">
        <f>(BH36)+(BH35*BL13)</f>
        <v>445</v>
      </c>
      <c r="BJ36" s="423">
        <f>(BI36)+(BI35*BM13)</f>
        <v>445</v>
      </c>
      <c r="BK36" s="423">
        <f>(BJ36)+(BJ35*BN13)</f>
        <v>445</v>
      </c>
    </row>
    <row r="37" spans="2:64">
      <c r="C37" s="424"/>
    </row>
    <row r="38" spans="2:64">
      <c r="B38" s="414" t="s">
        <v>426</v>
      </c>
      <c r="C38" s="428">
        <f>SUM(,C18,C20,C22,C24,C26,C28)</f>
        <v>7414</v>
      </c>
      <c r="D38" s="727"/>
      <c r="E38" s="728"/>
      <c r="F38" s="422">
        <f>SUM(F18,F20,F22,F24,F26,F28)</f>
        <v>1300</v>
      </c>
      <c r="G38" s="422">
        <f t="shared" ref="G38:V39" si="15">SUM(G18,G20,G22,G24,G26,G28)</f>
        <v>1300</v>
      </c>
      <c r="H38" s="422">
        <f t="shared" si="15"/>
        <v>1500</v>
      </c>
      <c r="I38" s="422">
        <f t="shared" si="15"/>
        <v>1650</v>
      </c>
      <c r="J38" s="422">
        <f t="shared" si="15"/>
        <v>1664</v>
      </c>
      <c r="K38" s="422">
        <f t="shared" si="15"/>
        <v>0</v>
      </c>
      <c r="L38" s="422">
        <f t="shared" si="15"/>
        <v>0</v>
      </c>
      <c r="M38" s="422">
        <f t="shared" si="15"/>
        <v>0</v>
      </c>
      <c r="N38" s="422">
        <f t="shared" si="15"/>
        <v>0</v>
      </c>
      <c r="O38" s="422">
        <f t="shared" si="15"/>
        <v>0</v>
      </c>
      <c r="P38" s="422">
        <f t="shared" si="15"/>
        <v>0</v>
      </c>
      <c r="Q38" s="422">
        <f>SUM(Q18,Q20,Q22,Q24,Q26,Q28)</f>
        <v>0</v>
      </c>
      <c r="R38" s="422">
        <f t="shared" si="15"/>
        <v>0</v>
      </c>
      <c r="S38" s="422">
        <f t="shared" si="15"/>
        <v>0</v>
      </c>
      <c r="T38" s="414"/>
      <c r="U38" s="414"/>
      <c r="V38" s="414"/>
      <c r="W38" s="414"/>
      <c r="X38" s="414"/>
      <c r="Y38" s="414"/>
      <c r="Z38" s="414"/>
      <c r="AA38" s="414"/>
      <c r="AB38" s="414"/>
      <c r="AC38" s="414"/>
      <c r="AD38" s="414"/>
      <c r="AE38" s="414"/>
      <c r="AF38" s="414"/>
      <c r="AG38" s="414"/>
      <c r="AH38" s="414"/>
      <c r="AI38" s="414"/>
      <c r="AJ38" s="414"/>
      <c r="AK38" s="414"/>
      <c r="AL38" s="414"/>
      <c r="AM38" s="414"/>
      <c r="AN38" s="414"/>
      <c r="AO38" s="414"/>
      <c r="AP38" s="414"/>
      <c r="AQ38" s="414"/>
      <c r="AR38" s="414"/>
      <c r="AS38" s="414"/>
      <c r="AT38" s="414"/>
      <c r="AU38" s="414"/>
      <c r="AV38" s="414"/>
      <c r="AW38" s="414"/>
      <c r="AX38" s="414"/>
      <c r="AY38" s="414"/>
      <c r="AZ38" s="414"/>
      <c r="BA38" s="414"/>
      <c r="BB38" s="414"/>
      <c r="BC38" s="414"/>
      <c r="BD38" s="414"/>
      <c r="BE38" s="414"/>
      <c r="BF38" s="414"/>
      <c r="BG38" s="414"/>
      <c r="BH38" s="414"/>
      <c r="BI38" s="414"/>
      <c r="BJ38" s="414"/>
      <c r="BK38" s="414"/>
    </row>
    <row r="39" spans="2:64">
      <c r="B39" s="414" t="s">
        <v>427</v>
      </c>
      <c r="C39" s="429">
        <f>SUM(F39:BK39)</f>
        <v>21572319.936458882</v>
      </c>
      <c r="D39" s="729"/>
      <c r="E39" s="730"/>
      <c r="F39" s="414"/>
      <c r="G39" s="423">
        <f>SUM(G19,G21,G23,G25,G27,G29)</f>
        <v>93397.511808692245</v>
      </c>
      <c r="H39" s="423">
        <f t="shared" si="15"/>
        <v>165710.17125235638</v>
      </c>
      <c r="I39" s="423">
        <f t="shared" si="15"/>
        <v>242083.54890156753</v>
      </c>
      <c r="J39" s="423">
        <f t="shared" si="15"/>
        <v>316073.4660257888</v>
      </c>
      <c r="K39" s="423">
        <f t="shared" si="15"/>
        <v>391592.13676359394</v>
      </c>
      <c r="L39" s="423">
        <f t="shared" si="15"/>
        <v>391592.13676359394</v>
      </c>
      <c r="M39" s="423">
        <f t="shared" si="15"/>
        <v>391592.13676359394</v>
      </c>
      <c r="N39" s="423">
        <f t="shared" si="15"/>
        <v>391592.13676359394</v>
      </c>
      <c r="O39" s="423">
        <f>SUM(O19,O21,O23,O25,O27,O29)</f>
        <v>391592.13676359394</v>
      </c>
      <c r="P39" s="423">
        <f t="shared" si="15"/>
        <v>391592.13676359394</v>
      </c>
      <c r="Q39" s="423">
        <f t="shared" si="15"/>
        <v>391592.13676359394</v>
      </c>
      <c r="R39" s="423">
        <f t="shared" si="15"/>
        <v>391592.13676359394</v>
      </c>
      <c r="S39" s="423">
        <f t="shared" si="15"/>
        <v>391592.13676359394</v>
      </c>
      <c r="T39" s="423">
        <f t="shared" si="15"/>
        <v>391592.13676359394</v>
      </c>
      <c r="U39" s="423">
        <f t="shared" si="15"/>
        <v>391592.13676359394</v>
      </c>
      <c r="V39" s="423">
        <f t="shared" si="15"/>
        <v>391592.13676359394</v>
      </c>
      <c r="W39" s="423">
        <f t="shared" ref="W39:BJ39" si="16">SUM(W19,W21,W23,W25,W27,W29)</f>
        <v>391592.13676359394</v>
      </c>
      <c r="X39" s="423">
        <f t="shared" si="16"/>
        <v>391592.13676359394</v>
      </c>
      <c r="Y39" s="423">
        <f t="shared" si="16"/>
        <v>391592.13676359394</v>
      </c>
      <c r="Z39" s="423">
        <f t="shared" si="16"/>
        <v>391592.13676359394</v>
      </c>
      <c r="AA39" s="423">
        <f t="shared" si="16"/>
        <v>391592.13676359394</v>
      </c>
      <c r="AB39" s="423">
        <f t="shared" si="16"/>
        <v>391592.13676359394</v>
      </c>
      <c r="AC39" s="423">
        <f t="shared" si="16"/>
        <v>391592.13676359394</v>
      </c>
      <c r="AD39" s="423">
        <f t="shared" si="16"/>
        <v>391592.13676359394</v>
      </c>
      <c r="AE39" s="423">
        <f t="shared" si="16"/>
        <v>391592.13676359394</v>
      </c>
      <c r="AF39" s="423">
        <f t="shared" si="16"/>
        <v>391592.13676359394</v>
      </c>
      <c r="AG39" s="423">
        <f t="shared" si="16"/>
        <v>391592.13676359394</v>
      </c>
      <c r="AH39" s="423">
        <f t="shared" si="16"/>
        <v>391592.13676359394</v>
      </c>
      <c r="AI39" s="423">
        <f t="shared" si="16"/>
        <v>391592.13676359394</v>
      </c>
      <c r="AJ39" s="423">
        <f t="shared" si="16"/>
        <v>391592.13676359394</v>
      </c>
      <c r="AK39" s="423">
        <f t="shared" si="16"/>
        <v>391592.13676359394</v>
      </c>
      <c r="AL39" s="423">
        <f t="shared" si="16"/>
        <v>391592.13676359394</v>
      </c>
      <c r="AM39" s="423">
        <f t="shared" si="16"/>
        <v>391592.13676359394</v>
      </c>
      <c r="AN39" s="423">
        <f t="shared" si="16"/>
        <v>391592.13676359394</v>
      </c>
      <c r="AO39" s="423">
        <f t="shared" si="16"/>
        <v>391592.13676359394</v>
      </c>
      <c r="AP39" s="423">
        <f t="shared" si="16"/>
        <v>391592.13676359394</v>
      </c>
      <c r="AQ39" s="423">
        <f t="shared" si="16"/>
        <v>391592.13676359394</v>
      </c>
      <c r="AR39" s="423">
        <f t="shared" si="16"/>
        <v>391592.13676359394</v>
      </c>
      <c r="AS39" s="423">
        <f t="shared" si="16"/>
        <v>391592.13676359394</v>
      </c>
      <c r="AT39" s="423">
        <f t="shared" si="16"/>
        <v>391592.13676359394</v>
      </c>
      <c r="AU39" s="423">
        <f t="shared" si="16"/>
        <v>391592.13676359394</v>
      </c>
      <c r="AV39" s="423">
        <f t="shared" si="16"/>
        <v>391592.13676359394</v>
      </c>
      <c r="AW39" s="423">
        <f t="shared" si="16"/>
        <v>391592.13676359394</v>
      </c>
      <c r="AX39" s="423">
        <f t="shared" si="16"/>
        <v>391592.13676359394</v>
      </c>
      <c r="AY39" s="423">
        <f t="shared" si="16"/>
        <v>391592.13676359394</v>
      </c>
      <c r="AZ39" s="423">
        <f t="shared" si="16"/>
        <v>391592.13676359394</v>
      </c>
      <c r="BA39" s="423">
        <f t="shared" si="16"/>
        <v>391592.13676359394</v>
      </c>
      <c r="BB39" s="423">
        <f t="shared" si="16"/>
        <v>391592.13676359394</v>
      </c>
      <c r="BC39" s="423">
        <f t="shared" si="16"/>
        <v>391592.13676359394</v>
      </c>
      <c r="BD39" s="423">
        <f t="shared" si="16"/>
        <v>391592.13676359394</v>
      </c>
      <c r="BE39" s="423">
        <f t="shared" si="16"/>
        <v>391592.13676359394</v>
      </c>
      <c r="BF39" s="423">
        <f t="shared" si="16"/>
        <v>391592.13676359394</v>
      </c>
      <c r="BG39" s="423">
        <f t="shared" si="16"/>
        <v>391592.13676359394</v>
      </c>
      <c r="BH39" s="423">
        <f t="shared" si="16"/>
        <v>391592.13676359394</v>
      </c>
      <c r="BI39" s="423">
        <f t="shared" si="16"/>
        <v>391592.13676359394</v>
      </c>
      <c r="BJ39" s="423">
        <f t="shared" si="16"/>
        <v>391592.13676359394</v>
      </c>
      <c r="BK39" s="423">
        <f>SUM(BK19,BK21,BK23,BK25,BK27,BK29)+671.99</f>
        <v>392264.12676359393</v>
      </c>
      <c r="BL39" s="404"/>
    </row>
    <row r="40" spans="2:64">
      <c r="B40" s="414" t="s">
        <v>428</v>
      </c>
      <c r="C40" s="428">
        <f>SUM(C31,C33,C35)</f>
        <v>7364</v>
      </c>
      <c r="D40" s="729"/>
      <c r="E40" s="730"/>
      <c r="F40" s="422">
        <f>SUM(F31,F33,F35)</f>
        <v>1250</v>
      </c>
      <c r="G40" s="422">
        <f t="shared" ref="G40:V41" si="17">SUM(G31,G33,G35)</f>
        <v>1300</v>
      </c>
      <c r="H40" s="422">
        <f t="shared" si="17"/>
        <v>1500</v>
      </c>
      <c r="I40" s="422">
        <f t="shared" si="17"/>
        <v>1650</v>
      </c>
      <c r="J40" s="422">
        <f t="shared" si="17"/>
        <v>1664</v>
      </c>
      <c r="K40" s="422">
        <f t="shared" si="17"/>
        <v>0</v>
      </c>
      <c r="L40" s="422">
        <f t="shared" si="17"/>
        <v>0</v>
      </c>
      <c r="M40" s="422">
        <f t="shared" si="17"/>
        <v>0</v>
      </c>
      <c r="N40" s="422">
        <f t="shared" si="17"/>
        <v>0</v>
      </c>
      <c r="O40" s="422">
        <f t="shared" si="17"/>
        <v>0</v>
      </c>
      <c r="P40" s="422">
        <f t="shared" si="17"/>
        <v>0</v>
      </c>
      <c r="Q40" s="422">
        <f t="shared" si="17"/>
        <v>0</v>
      </c>
      <c r="R40" s="422">
        <f t="shared" si="17"/>
        <v>0</v>
      </c>
      <c r="S40" s="422">
        <f>SUM(S31,S33,S35)</f>
        <v>0</v>
      </c>
      <c r="T40" s="414"/>
      <c r="U40" s="414"/>
      <c r="V40" s="414"/>
      <c r="W40" s="414"/>
      <c r="X40" s="414"/>
      <c r="Y40" s="414"/>
      <c r="Z40" s="414"/>
      <c r="AA40" s="414"/>
      <c r="AB40" s="414"/>
      <c r="AC40" s="414"/>
      <c r="AD40" s="414"/>
      <c r="AE40" s="414"/>
      <c r="AF40" s="414"/>
      <c r="AG40" s="414"/>
      <c r="AH40" s="414"/>
      <c r="AI40" s="414"/>
      <c r="AJ40" s="414"/>
      <c r="AK40" s="414"/>
      <c r="AL40" s="414"/>
      <c r="AM40" s="414"/>
      <c r="AN40" s="414"/>
      <c r="AO40" s="414"/>
      <c r="AP40" s="414"/>
      <c r="AQ40" s="414"/>
      <c r="AR40" s="414"/>
      <c r="AS40" s="414"/>
      <c r="AT40" s="414"/>
      <c r="AU40" s="414"/>
      <c r="AV40" s="414"/>
      <c r="AW40" s="414"/>
      <c r="AX40" s="414"/>
      <c r="AY40" s="414"/>
      <c r="AZ40" s="414"/>
      <c r="BA40" s="414"/>
      <c r="BB40" s="414"/>
      <c r="BC40" s="414"/>
      <c r="BD40" s="414"/>
      <c r="BE40" s="414"/>
      <c r="BF40" s="414"/>
      <c r="BG40" s="414"/>
      <c r="BH40" s="414"/>
      <c r="BI40" s="414"/>
      <c r="BJ40" s="414"/>
      <c r="BK40" s="414"/>
    </row>
    <row r="41" spans="2:64">
      <c r="B41" s="414" t="s">
        <v>429</v>
      </c>
      <c r="C41" s="429">
        <f>SUM(F41:BK41)</f>
        <v>5628421.6920146579</v>
      </c>
      <c r="D41" s="731"/>
      <c r="E41" s="732"/>
      <c r="F41" s="414"/>
      <c r="G41" s="423">
        <f>SUM(G32,G34,G36)</f>
        <v>17141.239999999998</v>
      </c>
      <c r="H41" s="423">
        <f t="shared" si="17"/>
        <v>35269.24</v>
      </c>
      <c r="I41" s="423">
        <f>SUM(I32,I34,I36)</f>
        <v>55869.400584741445</v>
      </c>
      <c r="J41" s="423">
        <f t="shared" si="17"/>
        <v>78949.210128757331</v>
      </c>
      <c r="K41" s="423">
        <f t="shared" si="17"/>
        <v>102664.01134530497</v>
      </c>
      <c r="L41" s="423">
        <f t="shared" si="17"/>
        <v>102664.01134530497</v>
      </c>
      <c r="M41" s="423">
        <f t="shared" si="17"/>
        <v>102664.01134530497</v>
      </c>
      <c r="N41" s="423">
        <f t="shared" si="17"/>
        <v>102664.01134530497</v>
      </c>
      <c r="O41" s="423">
        <f>SUM(O32,O34,O36)</f>
        <v>102664.01134530497</v>
      </c>
      <c r="P41" s="423">
        <f t="shared" si="17"/>
        <v>102664.01134530497</v>
      </c>
      <c r="Q41" s="423">
        <f t="shared" si="17"/>
        <v>102664.01134530497</v>
      </c>
      <c r="R41" s="423">
        <f t="shared" si="17"/>
        <v>102664.01134530497</v>
      </c>
      <c r="S41" s="423">
        <f t="shared" si="17"/>
        <v>102664.01134530497</v>
      </c>
      <c r="T41" s="423">
        <f t="shared" si="17"/>
        <v>102664.01134530497</v>
      </c>
      <c r="U41" s="423">
        <f t="shared" si="17"/>
        <v>102664.01134530497</v>
      </c>
      <c r="V41" s="423">
        <f t="shared" si="17"/>
        <v>102664.01134530497</v>
      </c>
      <c r="W41" s="423">
        <f t="shared" ref="W41:BJ41" si="18">SUM(W32,W34,W36)</f>
        <v>102664.01134530497</v>
      </c>
      <c r="X41" s="423">
        <f t="shared" si="18"/>
        <v>102664.01134530497</v>
      </c>
      <c r="Y41" s="423">
        <f t="shared" si="18"/>
        <v>102664.01134530497</v>
      </c>
      <c r="Z41" s="423">
        <f t="shared" si="18"/>
        <v>102664.01134530497</v>
      </c>
      <c r="AA41" s="423">
        <f t="shared" si="18"/>
        <v>102664.01134530497</v>
      </c>
      <c r="AB41" s="423">
        <f t="shared" si="18"/>
        <v>102664.01134530497</v>
      </c>
      <c r="AC41" s="423">
        <f t="shared" si="18"/>
        <v>102664.01134530497</v>
      </c>
      <c r="AD41" s="423">
        <f t="shared" si="18"/>
        <v>102664.01134530497</v>
      </c>
      <c r="AE41" s="423">
        <f t="shared" si="18"/>
        <v>102664.01134530497</v>
      </c>
      <c r="AF41" s="423">
        <f t="shared" si="18"/>
        <v>102664.01134530497</v>
      </c>
      <c r="AG41" s="423">
        <f t="shared" si="18"/>
        <v>102664.01134530497</v>
      </c>
      <c r="AH41" s="423">
        <f t="shared" si="18"/>
        <v>102664.01134530497</v>
      </c>
      <c r="AI41" s="423">
        <f t="shared" si="18"/>
        <v>102664.01134530497</v>
      </c>
      <c r="AJ41" s="423">
        <f t="shared" si="18"/>
        <v>102664.01134530497</v>
      </c>
      <c r="AK41" s="423">
        <f t="shared" si="18"/>
        <v>102664.01134530497</v>
      </c>
      <c r="AL41" s="423">
        <f t="shared" si="18"/>
        <v>102664.01134530497</v>
      </c>
      <c r="AM41" s="423">
        <f t="shared" si="18"/>
        <v>102664.01134530497</v>
      </c>
      <c r="AN41" s="423">
        <f t="shared" si="18"/>
        <v>102664.01134530497</v>
      </c>
      <c r="AO41" s="423">
        <f t="shared" si="18"/>
        <v>102664.01134530497</v>
      </c>
      <c r="AP41" s="423">
        <f t="shared" si="18"/>
        <v>102664.01134530497</v>
      </c>
      <c r="AQ41" s="423">
        <f t="shared" si="18"/>
        <v>102664.01134530497</v>
      </c>
      <c r="AR41" s="423">
        <f t="shared" si="18"/>
        <v>102664.01134530497</v>
      </c>
      <c r="AS41" s="423">
        <f t="shared" si="18"/>
        <v>102664.01134530497</v>
      </c>
      <c r="AT41" s="423">
        <f t="shared" si="18"/>
        <v>102664.01134530497</v>
      </c>
      <c r="AU41" s="423">
        <f t="shared" si="18"/>
        <v>102664.01134530497</v>
      </c>
      <c r="AV41" s="423">
        <f t="shared" si="18"/>
        <v>102664.01134530497</v>
      </c>
      <c r="AW41" s="423">
        <f t="shared" si="18"/>
        <v>102664.01134530497</v>
      </c>
      <c r="AX41" s="423">
        <f t="shared" si="18"/>
        <v>102664.01134530497</v>
      </c>
      <c r="AY41" s="423">
        <f t="shared" si="18"/>
        <v>102664.01134530497</v>
      </c>
      <c r="AZ41" s="423">
        <f t="shared" si="18"/>
        <v>102664.01134530497</v>
      </c>
      <c r="BA41" s="423">
        <f t="shared" si="18"/>
        <v>102664.01134530497</v>
      </c>
      <c r="BB41" s="423">
        <f t="shared" si="18"/>
        <v>102664.01134530497</v>
      </c>
      <c r="BC41" s="423">
        <f t="shared" si="18"/>
        <v>102664.01134530497</v>
      </c>
      <c r="BD41" s="423">
        <f t="shared" si="18"/>
        <v>102664.01134530497</v>
      </c>
      <c r="BE41" s="423">
        <f t="shared" si="18"/>
        <v>102664.01134530497</v>
      </c>
      <c r="BF41" s="423">
        <f t="shared" si="18"/>
        <v>102664.01134530497</v>
      </c>
      <c r="BG41" s="423">
        <f t="shared" si="18"/>
        <v>102664.01134530497</v>
      </c>
      <c r="BH41" s="423">
        <f t="shared" si="18"/>
        <v>102664.01134530497</v>
      </c>
      <c r="BI41" s="423">
        <f t="shared" si="18"/>
        <v>102664.01134530497</v>
      </c>
      <c r="BJ41" s="423">
        <f t="shared" si="18"/>
        <v>102664.01134530497</v>
      </c>
      <c r="BK41" s="423">
        <f>(SUM(BK32,BK34,BK36))</f>
        <v>102664.01134530497</v>
      </c>
    </row>
    <row r="43" spans="2:64">
      <c r="B43" s="414" t="s">
        <v>430</v>
      </c>
      <c r="C43" s="423">
        <f>C39+C41</f>
        <v>27200741.628473539</v>
      </c>
      <c r="D43" s="430"/>
      <c r="E43" s="431"/>
      <c r="F43" s="432">
        <f>F39+F41</f>
        <v>0</v>
      </c>
      <c r="G43" s="432">
        <f>G39+G41</f>
        <v>110538.75180869224</v>
      </c>
      <c r="H43" s="432">
        <f t="shared" ref="H43:BJ43" si="19">H39+H41</f>
        <v>200979.41125235637</v>
      </c>
      <c r="I43" s="432">
        <f t="shared" si="19"/>
        <v>297952.94948630896</v>
      </c>
      <c r="J43" s="432">
        <f t="shared" si="19"/>
        <v>395022.67615454615</v>
      </c>
      <c r="K43" s="432">
        <f t="shared" si="19"/>
        <v>494256.14810889889</v>
      </c>
      <c r="L43" s="432">
        <f t="shared" si="19"/>
        <v>494256.14810889889</v>
      </c>
      <c r="M43" s="432">
        <f t="shared" si="19"/>
        <v>494256.14810889889</v>
      </c>
      <c r="N43" s="432">
        <f t="shared" si="19"/>
        <v>494256.14810889889</v>
      </c>
      <c r="O43" s="432">
        <f>O39+O41</f>
        <v>494256.14810889889</v>
      </c>
      <c r="P43" s="432">
        <f t="shared" si="19"/>
        <v>494256.14810889889</v>
      </c>
      <c r="Q43" s="432">
        <f t="shared" si="19"/>
        <v>494256.14810889889</v>
      </c>
      <c r="R43" s="432">
        <f t="shared" si="19"/>
        <v>494256.14810889889</v>
      </c>
      <c r="S43" s="432">
        <f t="shared" si="19"/>
        <v>494256.14810889889</v>
      </c>
      <c r="T43" s="432">
        <f t="shared" si="19"/>
        <v>494256.14810889889</v>
      </c>
      <c r="U43" s="432">
        <f t="shared" si="19"/>
        <v>494256.14810889889</v>
      </c>
      <c r="V43" s="432">
        <f t="shared" si="19"/>
        <v>494256.14810889889</v>
      </c>
      <c r="W43" s="432">
        <f t="shared" si="19"/>
        <v>494256.14810889889</v>
      </c>
      <c r="X43" s="432">
        <f t="shared" si="19"/>
        <v>494256.14810889889</v>
      </c>
      <c r="Y43" s="432">
        <f t="shared" si="19"/>
        <v>494256.14810889889</v>
      </c>
      <c r="Z43" s="432">
        <f t="shared" si="19"/>
        <v>494256.14810889889</v>
      </c>
      <c r="AA43" s="432">
        <f t="shared" si="19"/>
        <v>494256.14810889889</v>
      </c>
      <c r="AB43" s="432">
        <f t="shared" si="19"/>
        <v>494256.14810889889</v>
      </c>
      <c r="AC43" s="432">
        <f t="shared" si="19"/>
        <v>494256.14810889889</v>
      </c>
      <c r="AD43" s="432">
        <f t="shared" si="19"/>
        <v>494256.14810889889</v>
      </c>
      <c r="AE43" s="432">
        <f t="shared" si="19"/>
        <v>494256.14810889889</v>
      </c>
      <c r="AF43" s="432">
        <f t="shared" si="19"/>
        <v>494256.14810889889</v>
      </c>
      <c r="AG43" s="432">
        <f t="shared" si="19"/>
        <v>494256.14810889889</v>
      </c>
      <c r="AH43" s="432">
        <f t="shared" si="19"/>
        <v>494256.14810889889</v>
      </c>
      <c r="AI43" s="432">
        <f t="shared" si="19"/>
        <v>494256.14810889889</v>
      </c>
      <c r="AJ43" s="432">
        <f t="shared" si="19"/>
        <v>494256.14810889889</v>
      </c>
      <c r="AK43" s="432">
        <f t="shared" si="19"/>
        <v>494256.14810889889</v>
      </c>
      <c r="AL43" s="432">
        <f t="shared" si="19"/>
        <v>494256.14810889889</v>
      </c>
      <c r="AM43" s="432">
        <f t="shared" si="19"/>
        <v>494256.14810889889</v>
      </c>
      <c r="AN43" s="432">
        <f t="shared" si="19"/>
        <v>494256.14810889889</v>
      </c>
      <c r="AO43" s="432">
        <f t="shared" si="19"/>
        <v>494256.14810889889</v>
      </c>
      <c r="AP43" s="432">
        <f t="shared" si="19"/>
        <v>494256.14810889889</v>
      </c>
      <c r="AQ43" s="432">
        <f t="shared" si="19"/>
        <v>494256.14810889889</v>
      </c>
      <c r="AR43" s="432">
        <f t="shared" si="19"/>
        <v>494256.14810889889</v>
      </c>
      <c r="AS43" s="432">
        <f t="shared" si="19"/>
        <v>494256.14810889889</v>
      </c>
      <c r="AT43" s="432">
        <f t="shared" si="19"/>
        <v>494256.14810889889</v>
      </c>
      <c r="AU43" s="432">
        <f t="shared" si="19"/>
        <v>494256.14810889889</v>
      </c>
      <c r="AV43" s="432">
        <f t="shared" si="19"/>
        <v>494256.14810889889</v>
      </c>
      <c r="AW43" s="432">
        <f t="shared" si="19"/>
        <v>494256.14810889889</v>
      </c>
      <c r="AX43" s="432">
        <f t="shared" si="19"/>
        <v>494256.14810889889</v>
      </c>
      <c r="AY43" s="432">
        <f t="shared" si="19"/>
        <v>494256.14810889889</v>
      </c>
      <c r="AZ43" s="432">
        <f t="shared" si="19"/>
        <v>494256.14810889889</v>
      </c>
      <c r="BA43" s="432">
        <f t="shared" si="19"/>
        <v>494256.14810889889</v>
      </c>
      <c r="BB43" s="432">
        <f t="shared" si="19"/>
        <v>494256.14810889889</v>
      </c>
      <c r="BC43" s="432">
        <f t="shared" si="19"/>
        <v>494256.14810889889</v>
      </c>
      <c r="BD43" s="432">
        <f t="shared" si="19"/>
        <v>494256.14810889889</v>
      </c>
      <c r="BE43" s="432">
        <f t="shared" si="19"/>
        <v>494256.14810889889</v>
      </c>
      <c r="BF43" s="432">
        <f t="shared" si="19"/>
        <v>494256.14810889889</v>
      </c>
      <c r="BG43" s="432">
        <f t="shared" si="19"/>
        <v>494256.14810889889</v>
      </c>
      <c r="BH43" s="432">
        <f t="shared" si="19"/>
        <v>494256.14810889889</v>
      </c>
      <c r="BI43" s="432">
        <f t="shared" si="19"/>
        <v>494256.14810889889</v>
      </c>
      <c r="BJ43" s="432">
        <f t="shared" si="19"/>
        <v>494256.14810889889</v>
      </c>
      <c r="BK43" s="432">
        <f>BK39+BK41</f>
        <v>494928.13810889889</v>
      </c>
    </row>
    <row r="45" spans="2:64">
      <c r="B45" s="718" t="s">
        <v>431</v>
      </c>
      <c r="C45" s="422">
        <f>C38</f>
        <v>7414</v>
      </c>
      <c r="D45" s="422">
        <f>C38</f>
        <v>7414</v>
      </c>
      <c r="E45" s="422">
        <f>C38</f>
        <v>7414</v>
      </c>
      <c r="F45" s="427">
        <f>C38-F38</f>
        <v>6114</v>
      </c>
      <c r="G45" s="427">
        <f>F45-G38</f>
        <v>4814</v>
      </c>
      <c r="H45" s="427">
        <f>G45-H38</f>
        <v>3314</v>
      </c>
      <c r="I45" s="427">
        <f>H45-I38</f>
        <v>1664</v>
      </c>
      <c r="J45" s="427">
        <f>I45-J38</f>
        <v>0</v>
      </c>
      <c r="K45" s="427">
        <f t="shared" ref="K45:R45" si="20">J45-K38</f>
        <v>0</v>
      </c>
      <c r="L45" s="427">
        <f t="shared" si="20"/>
        <v>0</v>
      </c>
      <c r="M45" s="427">
        <f t="shared" si="20"/>
        <v>0</v>
      </c>
      <c r="N45" s="427">
        <f t="shared" si="20"/>
        <v>0</v>
      </c>
      <c r="O45" s="427">
        <f t="shared" si="20"/>
        <v>0</v>
      </c>
      <c r="P45" s="427">
        <f t="shared" si="20"/>
        <v>0</v>
      </c>
      <c r="Q45" s="427">
        <f t="shared" si="20"/>
        <v>0</v>
      </c>
      <c r="R45" s="427">
        <f t="shared" si="20"/>
        <v>0</v>
      </c>
    </row>
    <row r="46" spans="2:64" ht="16.149999999999999" customHeight="1">
      <c r="B46" s="719"/>
      <c r="C46" s="433">
        <f>SUM(D46:Q46)</f>
        <v>690239.82641444111</v>
      </c>
      <c r="D46" s="434">
        <f>'2. ECONOMIA DE ENERGIA'!$D$101</f>
        <v>166507.38833333334</v>
      </c>
      <c r="E46" s="434">
        <f>'2. ECONOMIA DE ENERGIA'!$D$101</f>
        <v>166507.38833333334</v>
      </c>
      <c r="F46" s="434">
        <f t="shared" ref="F46:M46" si="21">($E$46/$E$45)*F45</f>
        <v>137311.32617615323</v>
      </c>
      <c r="G46" s="434">
        <f t="shared" si="21"/>
        <v>108115.26401897312</v>
      </c>
      <c r="H46" s="434">
        <f t="shared" si="21"/>
        <v>74427.499991457604</v>
      </c>
      <c r="I46" s="434">
        <f t="shared" si="21"/>
        <v>37370.959561190539</v>
      </c>
      <c r="J46" s="434">
        <f>($E$46/$E$45)*J45</f>
        <v>0</v>
      </c>
      <c r="K46" s="434">
        <f t="shared" ref="K46" si="22">($E$46/$E$45)*K45</f>
        <v>0</v>
      </c>
      <c r="L46" s="434">
        <f t="shared" si="21"/>
        <v>0</v>
      </c>
      <c r="M46" s="434">
        <f t="shared" si="21"/>
        <v>0</v>
      </c>
      <c r="N46" s="434">
        <f>($E$46/$E$45)*N45</f>
        <v>0</v>
      </c>
      <c r="O46" s="434">
        <f>($E$46/$E$45)*O45</f>
        <v>0</v>
      </c>
      <c r="P46" s="434">
        <f>($E$46/$E$45)*P45</f>
        <v>0</v>
      </c>
      <c r="Q46" s="434">
        <f>($E$46/$E$45)*Q45</f>
        <v>0</v>
      </c>
      <c r="R46" s="434">
        <f>($E$46/$E$45)*R45</f>
        <v>0</v>
      </c>
    </row>
    <row r="48" spans="2:64">
      <c r="B48" s="400" t="s">
        <v>432</v>
      </c>
      <c r="C48" s="434">
        <f>C43</f>
        <v>27200741.628473539</v>
      </c>
      <c r="E48" s="578">
        <f>'3. INVESTIMENTO GLOBAL'!F18</f>
        <v>27200741.628103569</v>
      </c>
    </row>
    <row r="49" spans="2:63" ht="15" customHeight="1">
      <c r="B49" s="405" t="s">
        <v>433</v>
      </c>
      <c r="C49" s="631">
        <f>NPV(C51,G43:BK43)</f>
        <v>23323600.783872042</v>
      </c>
      <c r="E49" s="435">
        <f>C48-E48</f>
        <v>3.6996975541114807E-4</v>
      </c>
      <c r="F49" s="376" t="s">
        <v>434</v>
      </c>
      <c r="G49" s="436"/>
      <c r="H49" s="436"/>
      <c r="I49" s="436"/>
      <c r="J49" s="436"/>
      <c r="K49" s="436"/>
      <c r="L49" s="436"/>
      <c r="M49" s="436"/>
      <c r="N49" s="436"/>
      <c r="O49" s="436"/>
      <c r="P49" s="436"/>
      <c r="Q49" s="436"/>
      <c r="R49" s="436"/>
    </row>
    <row r="50" spans="2:63">
      <c r="B50" s="405" t="s">
        <v>435</v>
      </c>
      <c r="C50" s="437">
        <v>6.5000000000000002E-2</v>
      </c>
      <c r="F50" s="438"/>
      <c r="G50" s="438"/>
      <c r="H50" s="438"/>
      <c r="I50" s="438"/>
      <c r="J50" s="438"/>
      <c r="K50" s="438"/>
      <c r="L50" s="438"/>
      <c r="M50" s="438"/>
      <c r="N50" s="438"/>
      <c r="O50" s="438"/>
      <c r="P50" s="438"/>
      <c r="Q50" s="438"/>
      <c r="R50" s="438"/>
    </row>
    <row r="51" spans="2:63">
      <c r="B51" s="408" t="s">
        <v>436</v>
      </c>
      <c r="C51" s="439">
        <v>5.2620000000000002E-3</v>
      </c>
      <c r="F51" s="424"/>
      <c r="G51" s="424"/>
      <c r="H51" s="424"/>
      <c r="I51" s="424"/>
      <c r="J51" s="424"/>
      <c r="K51" s="424"/>
      <c r="L51" s="424"/>
      <c r="M51" s="424"/>
      <c r="N51" s="424"/>
      <c r="O51" s="424"/>
      <c r="P51" s="424"/>
      <c r="Q51" s="424"/>
      <c r="R51" s="424"/>
    </row>
    <row r="52" spans="2:63">
      <c r="E52" s="404"/>
    </row>
    <row r="53" spans="2:63">
      <c r="B53" s="414" t="s">
        <v>437</v>
      </c>
      <c r="C53" s="434">
        <f>C48-C49</f>
        <v>3877140.8446014971</v>
      </c>
    </row>
    <row r="55" spans="2:63">
      <c r="B55" s="440" t="s">
        <v>438</v>
      </c>
    </row>
    <row r="56" spans="2:63">
      <c r="B56" s="430" t="s">
        <v>439</v>
      </c>
      <c r="C56" s="431"/>
      <c r="D56" s="422">
        <f>'2. ECONOMIA DE ENERGIA'!$H$50</f>
        <v>9176</v>
      </c>
      <c r="E56" s="422">
        <f>'2. ECONOMIA DE ENERGIA'!$H$50</f>
        <v>9176</v>
      </c>
      <c r="F56" s="422">
        <f>'2. ECONOMIA DE ENERGIA'!$H$50</f>
        <v>9176</v>
      </c>
      <c r="G56" s="422">
        <f>'2. ECONOMIA DE ENERGIA'!$H$50</f>
        <v>9176</v>
      </c>
      <c r="H56" s="422">
        <f>'2. ECONOMIA DE ENERGIA'!$H$50</f>
        <v>9176</v>
      </c>
      <c r="I56" s="422">
        <f>'2. ECONOMIA DE ENERGIA'!$H$50</f>
        <v>9176</v>
      </c>
      <c r="J56" s="422">
        <f>'2. ECONOMIA DE ENERGIA'!$H$50</f>
        <v>9176</v>
      </c>
      <c r="K56" s="441">
        <f>'2. ECONOMIA DE ENERGIA'!$H$50</f>
        <v>9176</v>
      </c>
      <c r="L56" s="422">
        <v>0</v>
      </c>
      <c r="M56" s="422">
        <v>0</v>
      </c>
      <c r="N56" s="422">
        <v>0</v>
      </c>
      <c r="O56" s="422">
        <v>0</v>
      </c>
      <c r="P56" s="422">
        <v>0</v>
      </c>
      <c r="Q56" s="422">
        <v>0</v>
      </c>
      <c r="R56" s="422">
        <v>0</v>
      </c>
      <c r="S56" s="422">
        <v>0</v>
      </c>
      <c r="T56" s="422">
        <v>0</v>
      </c>
      <c r="U56" s="422">
        <v>0</v>
      </c>
      <c r="V56" s="422">
        <v>0</v>
      </c>
      <c r="W56" s="422">
        <v>0</v>
      </c>
      <c r="X56" s="427">
        <v>0</v>
      </c>
      <c r="Y56" s="427">
        <v>0</v>
      </c>
      <c r="Z56" s="427">
        <v>0</v>
      </c>
      <c r="AA56" s="427">
        <v>0</v>
      </c>
      <c r="AB56" s="427">
        <v>0</v>
      </c>
      <c r="AC56" s="427">
        <v>0</v>
      </c>
      <c r="AD56" s="427">
        <v>0</v>
      </c>
      <c r="AE56" s="427">
        <v>0</v>
      </c>
      <c r="AF56" s="427">
        <v>0</v>
      </c>
      <c r="AG56" s="427">
        <v>0</v>
      </c>
      <c r="AH56" s="427">
        <v>0</v>
      </c>
      <c r="AI56" s="427">
        <v>0</v>
      </c>
      <c r="AJ56" s="427">
        <v>0</v>
      </c>
      <c r="AK56" s="427">
        <v>0</v>
      </c>
      <c r="AL56" s="427">
        <v>0</v>
      </c>
      <c r="AM56" s="427">
        <v>0</v>
      </c>
      <c r="AN56" s="427">
        <v>0</v>
      </c>
      <c r="AO56" s="427">
        <v>0</v>
      </c>
      <c r="AP56" s="427">
        <v>0</v>
      </c>
      <c r="AQ56" s="427">
        <v>0</v>
      </c>
      <c r="AR56" s="427">
        <v>0</v>
      </c>
      <c r="AS56" s="427">
        <v>0</v>
      </c>
      <c r="AT56" s="427">
        <v>0</v>
      </c>
      <c r="AU56" s="427">
        <v>0</v>
      </c>
      <c r="AV56" s="427">
        <v>0</v>
      </c>
      <c r="AW56" s="427">
        <v>0</v>
      </c>
      <c r="AX56" s="427">
        <v>0</v>
      </c>
      <c r="AY56" s="427">
        <v>0</v>
      </c>
      <c r="AZ56" s="427">
        <v>0</v>
      </c>
      <c r="BA56" s="427">
        <v>0</v>
      </c>
      <c r="BB56" s="427">
        <v>0</v>
      </c>
      <c r="BC56" s="427">
        <v>0</v>
      </c>
      <c r="BD56" s="427">
        <v>0</v>
      </c>
      <c r="BE56" s="427">
        <v>0</v>
      </c>
      <c r="BF56" s="427">
        <v>0</v>
      </c>
      <c r="BG56" s="427">
        <v>0</v>
      </c>
      <c r="BH56" s="427">
        <v>0</v>
      </c>
      <c r="BI56" s="427">
        <v>0</v>
      </c>
      <c r="BJ56" s="427">
        <v>0</v>
      </c>
      <c r="BK56" s="427">
        <v>0</v>
      </c>
    </row>
    <row r="57" spans="2:63">
      <c r="B57" s="430" t="s">
        <v>440</v>
      </c>
      <c r="C57" s="431"/>
      <c r="D57" s="422">
        <f>SUM('2. ECONOMIA DE ENERGIA'!$H$45:$H$49)</f>
        <v>1676746.4</v>
      </c>
      <c r="E57" s="422">
        <f>SUM('2. ECONOMIA DE ENERGIA'!$H$45:$H$49)</f>
        <v>1676746.4</v>
      </c>
      <c r="F57" s="422">
        <f>SUM('2. ECONOMIA DE ENERGIA'!$H$45:$H$49)</f>
        <v>1676746.4</v>
      </c>
      <c r="G57" s="422">
        <f>SUM('2. ECONOMIA DE ENERGIA'!$H$45:$H$49)</f>
        <v>1676746.4</v>
      </c>
      <c r="H57" s="422">
        <f>SUM('2. ECONOMIA DE ENERGIA'!$H$45:$H$49)</f>
        <v>1676746.4</v>
      </c>
      <c r="I57" s="422">
        <f>SUM('2. ECONOMIA DE ENERGIA'!$H$45:$H$49)</f>
        <v>1676746.4</v>
      </c>
      <c r="J57" s="422">
        <f>SUM('2. ECONOMIA DE ENERGIA'!$H$45:$H$49)</f>
        <v>1676746.4</v>
      </c>
      <c r="K57" s="441">
        <f>SUM('2. ECONOMIA DE ENERGIA'!$H$45:$H$49)</f>
        <v>1676746.4</v>
      </c>
      <c r="L57" s="422">
        <v>0</v>
      </c>
      <c r="M57" s="422">
        <v>0</v>
      </c>
      <c r="N57" s="422">
        <v>0</v>
      </c>
      <c r="O57" s="422">
        <v>0</v>
      </c>
      <c r="P57" s="422">
        <v>0</v>
      </c>
      <c r="Q57" s="422">
        <v>0</v>
      </c>
      <c r="R57" s="422">
        <v>0</v>
      </c>
      <c r="S57" s="422">
        <v>0</v>
      </c>
      <c r="T57" s="422">
        <v>0</v>
      </c>
      <c r="U57" s="422">
        <v>0</v>
      </c>
      <c r="V57" s="422">
        <v>0</v>
      </c>
      <c r="W57" s="422">
        <v>0</v>
      </c>
      <c r="X57" s="427">
        <v>0</v>
      </c>
      <c r="Y57" s="427">
        <v>0</v>
      </c>
      <c r="Z57" s="427">
        <v>0</v>
      </c>
      <c r="AA57" s="427">
        <v>0</v>
      </c>
      <c r="AB57" s="427">
        <v>0</v>
      </c>
      <c r="AC57" s="427">
        <v>0</v>
      </c>
      <c r="AD57" s="427">
        <v>0</v>
      </c>
      <c r="AE57" s="427">
        <v>0</v>
      </c>
      <c r="AF57" s="427">
        <v>0</v>
      </c>
      <c r="AG57" s="427">
        <v>0</v>
      </c>
      <c r="AH57" s="427">
        <v>0</v>
      </c>
      <c r="AI57" s="427">
        <v>0</v>
      </c>
      <c r="AJ57" s="427">
        <v>0</v>
      </c>
      <c r="AK57" s="427">
        <v>0</v>
      </c>
      <c r="AL57" s="427">
        <v>0</v>
      </c>
      <c r="AM57" s="427">
        <v>0</v>
      </c>
      <c r="AN57" s="427">
        <v>0</v>
      </c>
      <c r="AO57" s="427">
        <v>0</v>
      </c>
      <c r="AP57" s="427">
        <v>0</v>
      </c>
      <c r="AQ57" s="427">
        <v>0</v>
      </c>
      <c r="AR57" s="427">
        <v>0</v>
      </c>
      <c r="AS57" s="427">
        <v>0</v>
      </c>
      <c r="AT57" s="427">
        <v>0</v>
      </c>
      <c r="AU57" s="427">
        <v>0</v>
      </c>
      <c r="AV57" s="427">
        <v>0</v>
      </c>
      <c r="AW57" s="427">
        <v>0</v>
      </c>
      <c r="AX57" s="427">
        <v>0</v>
      </c>
      <c r="AY57" s="427">
        <v>0</v>
      </c>
      <c r="AZ57" s="427">
        <v>0</v>
      </c>
      <c r="BA57" s="427">
        <v>0</v>
      </c>
      <c r="BB57" s="427">
        <v>0</v>
      </c>
      <c r="BC57" s="427">
        <v>0</v>
      </c>
      <c r="BD57" s="427">
        <v>0</v>
      </c>
      <c r="BE57" s="427">
        <v>0</v>
      </c>
      <c r="BF57" s="427">
        <v>0</v>
      </c>
      <c r="BG57" s="427">
        <v>0</v>
      </c>
      <c r="BH57" s="427">
        <v>0</v>
      </c>
      <c r="BI57" s="427">
        <v>0</v>
      </c>
      <c r="BJ57" s="427">
        <v>0</v>
      </c>
      <c r="BK57" s="427">
        <v>0</v>
      </c>
    </row>
    <row r="58" spans="2:63">
      <c r="B58" s="430" t="s">
        <v>441</v>
      </c>
      <c r="C58" s="431"/>
      <c r="D58" s="427">
        <f>SUM(D56:D57)</f>
        <v>1685922.4</v>
      </c>
      <c r="E58" s="427">
        <f t="shared" ref="E58:W58" si="23">SUM(E56:E57)</f>
        <v>1685922.4</v>
      </c>
      <c r="F58" s="427">
        <f t="shared" si="23"/>
        <v>1685922.4</v>
      </c>
      <c r="G58" s="427">
        <f t="shared" si="23"/>
        <v>1685922.4</v>
      </c>
      <c r="H58" s="427">
        <f t="shared" si="23"/>
        <v>1685922.4</v>
      </c>
      <c r="I58" s="427">
        <f t="shared" si="23"/>
        <v>1685922.4</v>
      </c>
      <c r="J58" s="427">
        <f t="shared" si="23"/>
        <v>1685922.4</v>
      </c>
      <c r="K58" s="442">
        <f t="shared" si="23"/>
        <v>1685922.4</v>
      </c>
      <c r="L58" s="427">
        <f t="shared" si="23"/>
        <v>0</v>
      </c>
      <c r="M58" s="427">
        <f t="shared" si="23"/>
        <v>0</v>
      </c>
      <c r="N58" s="427">
        <f t="shared" si="23"/>
        <v>0</v>
      </c>
      <c r="O58" s="427">
        <f t="shared" si="23"/>
        <v>0</v>
      </c>
      <c r="P58" s="427">
        <f t="shared" si="23"/>
        <v>0</v>
      </c>
      <c r="Q58" s="427">
        <f t="shared" si="23"/>
        <v>0</v>
      </c>
      <c r="R58" s="427">
        <f t="shared" si="23"/>
        <v>0</v>
      </c>
      <c r="S58" s="427">
        <f t="shared" si="23"/>
        <v>0</v>
      </c>
      <c r="T58" s="427">
        <f t="shared" si="23"/>
        <v>0</v>
      </c>
      <c r="U58" s="427">
        <f t="shared" si="23"/>
        <v>0</v>
      </c>
      <c r="V58" s="427">
        <f t="shared" si="23"/>
        <v>0</v>
      </c>
      <c r="W58" s="427">
        <f t="shared" si="23"/>
        <v>0</v>
      </c>
      <c r="X58" s="427">
        <v>0</v>
      </c>
      <c r="Y58" s="427">
        <v>0</v>
      </c>
      <c r="Z58" s="427">
        <v>0</v>
      </c>
      <c r="AA58" s="427">
        <v>0</v>
      </c>
      <c r="AB58" s="427">
        <v>0</v>
      </c>
      <c r="AC58" s="427">
        <v>0</v>
      </c>
      <c r="AD58" s="427">
        <v>0</v>
      </c>
      <c r="AE58" s="427">
        <v>0</v>
      </c>
      <c r="AF58" s="427">
        <v>0</v>
      </c>
      <c r="AG58" s="427">
        <v>0</v>
      </c>
      <c r="AH58" s="427">
        <v>0</v>
      </c>
      <c r="AI58" s="427">
        <v>0</v>
      </c>
      <c r="AJ58" s="427">
        <v>0</v>
      </c>
      <c r="AK58" s="427">
        <v>0</v>
      </c>
      <c r="AL58" s="427">
        <v>0</v>
      </c>
      <c r="AM58" s="427">
        <v>0</v>
      </c>
      <c r="AN58" s="427">
        <v>0</v>
      </c>
      <c r="AO58" s="427">
        <v>0</v>
      </c>
      <c r="AP58" s="427">
        <v>0</v>
      </c>
      <c r="AQ58" s="427">
        <v>0</v>
      </c>
      <c r="AR58" s="427">
        <v>0</v>
      </c>
      <c r="AS58" s="427">
        <v>0</v>
      </c>
      <c r="AT58" s="427">
        <v>0</v>
      </c>
      <c r="AU58" s="427">
        <v>0</v>
      </c>
      <c r="AV58" s="427">
        <v>0</v>
      </c>
      <c r="AW58" s="427">
        <v>0</v>
      </c>
      <c r="AX58" s="427">
        <v>0</v>
      </c>
      <c r="AY58" s="427">
        <v>0</v>
      </c>
      <c r="AZ58" s="427">
        <v>0</v>
      </c>
      <c r="BA58" s="427">
        <v>0</v>
      </c>
      <c r="BB58" s="427">
        <v>0</v>
      </c>
      <c r="BC58" s="427">
        <v>0</v>
      </c>
      <c r="BD58" s="427">
        <v>0</v>
      </c>
      <c r="BE58" s="427">
        <v>0</v>
      </c>
      <c r="BF58" s="427">
        <v>0</v>
      </c>
      <c r="BG58" s="427">
        <v>0</v>
      </c>
      <c r="BH58" s="427">
        <v>0</v>
      </c>
      <c r="BI58" s="427">
        <v>0</v>
      </c>
      <c r="BJ58" s="427">
        <v>0</v>
      </c>
      <c r="BK58" s="427">
        <v>0</v>
      </c>
    </row>
    <row r="59" spans="2:63">
      <c r="B59" s="430" t="s">
        <v>442</v>
      </c>
      <c r="C59" s="431"/>
      <c r="D59" s="422">
        <v>0</v>
      </c>
      <c r="E59" s="422">
        <v>0</v>
      </c>
      <c r="F59" s="422">
        <v>0</v>
      </c>
      <c r="G59" s="427">
        <f>(F18*$A$18)+($A$20*F20)+($A$22*F22)+($A$24*F24)+($A$26*F26)+($A$28*F28)</f>
        <v>185855</v>
      </c>
      <c r="H59" s="427">
        <f>(G18*$A$18)+($A$20*G20)+($A$22*G22)+($A$24*G24)+($A$26*G26)+($A$28*G28)</f>
        <v>134130</v>
      </c>
      <c r="I59" s="427">
        <f>(H18*$A$18)+($A$20*H20)+($A$22*H22)+($A$24*H24)+($A$26*H26)+($A$28*H28)</f>
        <v>102077</v>
      </c>
      <c r="J59" s="427">
        <f t="shared" ref="J59" si="24">(I18*$A$18)+($A$20*I20)+($A$22*I22)+($A$24*I24)+($A$26*I26)+($A$28*I28)</f>
        <v>78875</v>
      </c>
      <c r="K59" s="442">
        <f>(J18*$A$18)+($A$20*J20)+($A$22*J22)+($A$24*J24)+($A$26*J26)+($A$28*J28)</f>
        <v>72928</v>
      </c>
      <c r="L59" s="427">
        <f>(K18*$A$18)+($A$20*K20)+($A$22*K22)+($A$24*K24)+($A$26*K26)+($A$28*K28)</f>
        <v>0</v>
      </c>
      <c r="M59" s="427">
        <f>(L18*$A$18)+($A$20*L20)+($A$22*L22)+($A$24*L24)+($A$26*L26)+($A$28*L28)</f>
        <v>0</v>
      </c>
      <c r="N59" s="427">
        <f t="shared" ref="N59:W59" si="25">(M18*$A$18)+($A$20*M20)+($A$22*M22)+($A$24*M24)+($A$26*M26)+($A$28*M28)</f>
        <v>0</v>
      </c>
      <c r="O59" s="427">
        <f t="shared" si="25"/>
        <v>0</v>
      </c>
      <c r="P59" s="427">
        <f t="shared" si="25"/>
        <v>0</v>
      </c>
      <c r="Q59" s="427">
        <f t="shared" si="25"/>
        <v>0</v>
      </c>
      <c r="R59" s="427">
        <f t="shared" si="25"/>
        <v>0</v>
      </c>
      <c r="S59" s="427">
        <f t="shared" si="25"/>
        <v>0</v>
      </c>
      <c r="T59" s="427">
        <f t="shared" si="25"/>
        <v>0</v>
      </c>
      <c r="U59" s="427">
        <f t="shared" si="25"/>
        <v>0</v>
      </c>
      <c r="V59" s="427">
        <f t="shared" si="25"/>
        <v>0</v>
      </c>
      <c r="W59" s="427">
        <f t="shared" si="25"/>
        <v>0</v>
      </c>
      <c r="X59" s="422">
        <v>0</v>
      </c>
      <c r="Y59" s="422">
        <v>0</v>
      </c>
      <c r="Z59" s="422">
        <v>0</v>
      </c>
      <c r="AA59" s="422">
        <v>0</v>
      </c>
      <c r="AB59" s="422">
        <v>0</v>
      </c>
      <c r="AC59" s="422">
        <v>0</v>
      </c>
      <c r="AD59" s="422">
        <v>0</v>
      </c>
      <c r="AE59" s="422">
        <v>0</v>
      </c>
      <c r="AF59" s="422">
        <v>0</v>
      </c>
      <c r="AG59" s="422">
        <v>0</v>
      </c>
      <c r="AH59" s="422">
        <v>0</v>
      </c>
      <c r="AI59" s="422">
        <v>0</v>
      </c>
      <c r="AJ59" s="422">
        <v>0</v>
      </c>
      <c r="AK59" s="422">
        <v>0</v>
      </c>
      <c r="AL59" s="422">
        <v>0</v>
      </c>
      <c r="AM59" s="422">
        <v>0</v>
      </c>
      <c r="AN59" s="422">
        <v>0</v>
      </c>
      <c r="AO59" s="422">
        <v>0</v>
      </c>
      <c r="AP59" s="422">
        <v>0</v>
      </c>
      <c r="AQ59" s="422">
        <v>0</v>
      </c>
      <c r="AR59" s="422">
        <v>0</v>
      </c>
      <c r="AS59" s="422">
        <v>0</v>
      </c>
      <c r="AT59" s="422">
        <v>0</v>
      </c>
      <c r="AU59" s="422">
        <v>0</v>
      </c>
      <c r="AV59" s="422">
        <v>0</v>
      </c>
      <c r="AW59" s="422">
        <v>0</v>
      </c>
      <c r="AX59" s="422">
        <v>0</v>
      </c>
      <c r="AY59" s="422">
        <v>0</v>
      </c>
      <c r="AZ59" s="422">
        <v>0</v>
      </c>
      <c r="BA59" s="422">
        <v>0</v>
      </c>
      <c r="BB59" s="422">
        <v>0</v>
      </c>
      <c r="BC59" s="422">
        <v>0</v>
      </c>
      <c r="BD59" s="422">
        <v>0</v>
      </c>
      <c r="BE59" s="422">
        <v>0</v>
      </c>
      <c r="BF59" s="422">
        <v>0</v>
      </c>
      <c r="BG59" s="422">
        <v>0</v>
      </c>
      <c r="BH59" s="422">
        <v>0</v>
      </c>
      <c r="BI59" s="422">
        <v>0</v>
      </c>
      <c r="BJ59" s="422">
        <v>0</v>
      </c>
      <c r="BK59" s="422">
        <v>0</v>
      </c>
    </row>
    <row r="60" spans="2:63">
      <c r="B60" s="430" t="s">
        <v>443</v>
      </c>
      <c r="C60" s="431"/>
      <c r="D60" s="427">
        <f>D57</f>
        <v>1676746.4</v>
      </c>
      <c r="E60" s="427">
        <f>E57</f>
        <v>1676746.4</v>
      </c>
      <c r="F60" s="427">
        <f>F57</f>
        <v>1676746.4</v>
      </c>
      <c r="G60" s="427">
        <f>G57</f>
        <v>1676746.4</v>
      </c>
      <c r="H60" s="427">
        <f t="shared" ref="H60:W60" si="26">G60-G59</f>
        <v>1490891.4</v>
      </c>
      <c r="I60" s="427">
        <f t="shared" si="26"/>
        <v>1356761.4</v>
      </c>
      <c r="J60" s="427">
        <f t="shared" si="26"/>
        <v>1254684.3999999999</v>
      </c>
      <c r="K60" s="442">
        <f>J60-J59</f>
        <v>1175809.3999999999</v>
      </c>
      <c r="L60" s="427">
        <v>0</v>
      </c>
      <c r="M60" s="427">
        <f t="shared" si="26"/>
        <v>0</v>
      </c>
      <c r="N60" s="427">
        <f t="shared" si="26"/>
        <v>0</v>
      </c>
      <c r="O60" s="427">
        <f t="shared" si="26"/>
        <v>0</v>
      </c>
      <c r="P60" s="427">
        <f t="shared" si="26"/>
        <v>0</v>
      </c>
      <c r="Q60" s="427">
        <f t="shared" si="26"/>
        <v>0</v>
      </c>
      <c r="R60" s="427">
        <f t="shared" si="26"/>
        <v>0</v>
      </c>
      <c r="S60" s="427">
        <f t="shared" si="26"/>
        <v>0</v>
      </c>
      <c r="T60" s="427">
        <f t="shared" si="26"/>
        <v>0</v>
      </c>
      <c r="U60" s="427">
        <f t="shared" si="26"/>
        <v>0</v>
      </c>
      <c r="V60" s="427">
        <f t="shared" si="26"/>
        <v>0</v>
      </c>
      <c r="W60" s="427">
        <f t="shared" si="26"/>
        <v>0</v>
      </c>
      <c r="X60" s="427">
        <v>0</v>
      </c>
      <c r="Y60" s="427">
        <v>0</v>
      </c>
      <c r="Z60" s="427">
        <v>0</v>
      </c>
      <c r="AA60" s="427">
        <v>0</v>
      </c>
      <c r="AB60" s="427">
        <v>0</v>
      </c>
      <c r="AC60" s="427">
        <v>0</v>
      </c>
      <c r="AD60" s="427">
        <v>0</v>
      </c>
      <c r="AE60" s="427">
        <v>0</v>
      </c>
      <c r="AF60" s="427">
        <v>0</v>
      </c>
      <c r="AG60" s="427">
        <v>0</v>
      </c>
      <c r="AH60" s="427">
        <v>0</v>
      </c>
      <c r="AI60" s="427">
        <v>0</v>
      </c>
      <c r="AJ60" s="427">
        <v>0</v>
      </c>
      <c r="AK60" s="427">
        <v>0</v>
      </c>
      <c r="AL60" s="427">
        <v>0</v>
      </c>
      <c r="AM60" s="427">
        <v>0</v>
      </c>
      <c r="AN60" s="427">
        <v>0</v>
      </c>
      <c r="AO60" s="427">
        <v>0</v>
      </c>
      <c r="AP60" s="427">
        <v>0</v>
      </c>
      <c r="AQ60" s="427">
        <v>0</v>
      </c>
      <c r="AR60" s="427">
        <v>0</v>
      </c>
      <c r="AS60" s="427">
        <v>0</v>
      </c>
      <c r="AT60" s="427">
        <v>0</v>
      </c>
      <c r="AU60" s="427">
        <v>0</v>
      </c>
      <c r="AV60" s="427">
        <v>0</v>
      </c>
      <c r="AW60" s="427">
        <v>0</v>
      </c>
      <c r="AX60" s="427">
        <v>0</v>
      </c>
      <c r="AY60" s="427">
        <v>0</v>
      </c>
      <c r="AZ60" s="427">
        <v>0</v>
      </c>
      <c r="BA60" s="427">
        <v>0</v>
      </c>
      <c r="BB60" s="427">
        <v>0</v>
      </c>
      <c r="BC60" s="427">
        <v>0</v>
      </c>
      <c r="BD60" s="427">
        <v>0</v>
      </c>
      <c r="BE60" s="427">
        <v>0</v>
      </c>
      <c r="BF60" s="427">
        <v>0</v>
      </c>
      <c r="BG60" s="427">
        <v>0</v>
      </c>
      <c r="BH60" s="427">
        <v>0</v>
      </c>
      <c r="BI60" s="427">
        <v>0</v>
      </c>
      <c r="BJ60" s="427">
        <v>0</v>
      </c>
      <c r="BK60" s="427">
        <v>0</v>
      </c>
    </row>
    <row r="61" spans="2:63">
      <c r="B61" s="430" t="s">
        <v>444</v>
      </c>
      <c r="C61" s="431"/>
      <c r="D61" s="427">
        <v>0</v>
      </c>
      <c r="E61" s="427">
        <v>0</v>
      </c>
      <c r="F61" s="427">
        <v>0</v>
      </c>
      <c r="G61" s="427">
        <f>G58-G62</f>
        <v>195031</v>
      </c>
      <c r="H61" s="427">
        <f>H58-H62</f>
        <v>329161</v>
      </c>
      <c r="I61" s="427">
        <f t="shared" ref="I61:L61" si="27">I58-I62</f>
        <v>431238</v>
      </c>
      <c r="J61" s="427">
        <f t="shared" si="27"/>
        <v>510113</v>
      </c>
      <c r="K61" s="442">
        <f>K60-K59</f>
        <v>1102881.3999999999</v>
      </c>
      <c r="L61" s="427">
        <f t="shared" si="27"/>
        <v>0</v>
      </c>
      <c r="M61" s="427">
        <v>0</v>
      </c>
      <c r="N61" s="427">
        <v>0</v>
      </c>
      <c r="O61" s="427">
        <v>0</v>
      </c>
      <c r="P61" s="427">
        <v>0</v>
      </c>
      <c r="Q61" s="427">
        <v>0</v>
      </c>
      <c r="R61" s="427">
        <v>0</v>
      </c>
      <c r="S61" s="427">
        <v>0</v>
      </c>
      <c r="T61" s="427">
        <v>0</v>
      </c>
      <c r="U61" s="427">
        <v>0</v>
      </c>
      <c r="V61" s="427">
        <v>0</v>
      </c>
      <c r="W61" s="427">
        <v>0</v>
      </c>
      <c r="X61" s="427">
        <v>0</v>
      </c>
      <c r="Y61" s="427">
        <v>0</v>
      </c>
      <c r="Z61" s="427">
        <v>0</v>
      </c>
      <c r="AA61" s="427">
        <v>0</v>
      </c>
      <c r="AB61" s="427">
        <v>0</v>
      </c>
      <c r="AC61" s="427">
        <v>0</v>
      </c>
      <c r="AD61" s="427">
        <v>0</v>
      </c>
      <c r="AE61" s="427">
        <v>0</v>
      </c>
      <c r="AF61" s="427">
        <v>0</v>
      </c>
      <c r="AG61" s="427">
        <v>0</v>
      </c>
      <c r="AH61" s="427">
        <v>0</v>
      </c>
      <c r="AI61" s="427">
        <v>0</v>
      </c>
      <c r="AJ61" s="427">
        <v>0</v>
      </c>
      <c r="AK61" s="427">
        <v>0</v>
      </c>
      <c r="AL61" s="427">
        <v>0</v>
      </c>
      <c r="AM61" s="427">
        <v>0</v>
      </c>
      <c r="AN61" s="427">
        <v>0</v>
      </c>
      <c r="AO61" s="427">
        <v>0</v>
      </c>
      <c r="AP61" s="427">
        <v>0</v>
      </c>
      <c r="AQ61" s="427">
        <v>0</v>
      </c>
      <c r="AR61" s="427">
        <v>0</v>
      </c>
      <c r="AS61" s="427">
        <v>0</v>
      </c>
      <c r="AT61" s="427">
        <v>0</v>
      </c>
      <c r="AU61" s="427">
        <v>0</v>
      </c>
      <c r="AV61" s="427">
        <v>0</v>
      </c>
      <c r="AW61" s="427">
        <v>0</v>
      </c>
      <c r="AX61" s="427">
        <v>0</v>
      </c>
      <c r="AY61" s="427">
        <v>0</v>
      </c>
      <c r="AZ61" s="427">
        <v>0</v>
      </c>
      <c r="BA61" s="427">
        <v>0</v>
      </c>
      <c r="BB61" s="427">
        <v>0</v>
      </c>
      <c r="BC61" s="427">
        <v>0</v>
      </c>
      <c r="BD61" s="427">
        <v>0</v>
      </c>
      <c r="BE61" s="427">
        <v>0</v>
      </c>
      <c r="BF61" s="427">
        <v>0</v>
      </c>
      <c r="BG61" s="427">
        <v>0</v>
      </c>
      <c r="BH61" s="427">
        <v>0</v>
      </c>
      <c r="BI61" s="427">
        <v>0</v>
      </c>
      <c r="BJ61" s="427">
        <v>0</v>
      </c>
      <c r="BK61" s="427">
        <v>0</v>
      </c>
    </row>
    <row r="62" spans="2:63">
      <c r="B62" s="430" t="s">
        <v>445</v>
      </c>
      <c r="C62" s="431"/>
      <c r="D62" s="427">
        <v>0</v>
      </c>
      <c r="E62" s="427">
        <v>0</v>
      </c>
      <c r="F62" s="427">
        <v>0</v>
      </c>
      <c r="G62" s="427">
        <f>G60-G59</f>
        <v>1490891.4</v>
      </c>
      <c r="H62" s="427">
        <f>H60-H59</f>
        <v>1356761.4</v>
      </c>
      <c r="I62" s="427">
        <f t="shared" ref="I62:W62" si="28">I60-I59</f>
        <v>1254684.3999999999</v>
      </c>
      <c r="J62" s="427">
        <f t="shared" si="28"/>
        <v>1175809.3999999999</v>
      </c>
      <c r="K62" s="442">
        <f>K61-K58</f>
        <v>-583041</v>
      </c>
      <c r="L62" s="427">
        <f t="shared" si="28"/>
        <v>0</v>
      </c>
      <c r="M62" s="427">
        <f t="shared" si="28"/>
        <v>0</v>
      </c>
      <c r="N62" s="427">
        <f t="shared" si="28"/>
        <v>0</v>
      </c>
      <c r="O62" s="427">
        <f t="shared" si="28"/>
        <v>0</v>
      </c>
      <c r="P62" s="427">
        <f t="shared" si="28"/>
        <v>0</v>
      </c>
      <c r="Q62" s="427">
        <f t="shared" si="28"/>
        <v>0</v>
      </c>
      <c r="R62" s="427">
        <f t="shared" si="28"/>
        <v>0</v>
      </c>
      <c r="S62" s="427">
        <f t="shared" si="28"/>
        <v>0</v>
      </c>
      <c r="T62" s="427">
        <f t="shared" si="28"/>
        <v>0</v>
      </c>
      <c r="U62" s="427">
        <f t="shared" si="28"/>
        <v>0</v>
      </c>
      <c r="V62" s="427">
        <f t="shared" si="28"/>
        <v>0</v>
      </c>
      <c r="W62" s="427">
        <f t="shared" si="28"/>
        <v>0</v>
      </c>
      <c r="X62" s="427">
        <v>0</v>
      </c>
      <c r="Y62" s="427">
        <v>0</v>
      </c>
      <c r="Z62" s="427">
        <v>0</v>
      </c>
      <c r="AA62" s="427">
        <v>0</v>
      </c>
      <c r="AB62" s="427">
        <v>0</v>
      </c>
      <c r="AC62" s="427">
        <v>0</v>
      </c>
      <c r="AD62" s="427">
        <v>0</v>
      </c>
      <c r="AE62" s="427">
        <v>0</v>
      </c>
      <c r="AF62" s="427">
        <v>0</v>
      </c>
      <c r="AG62" s="427">
        <v>0</v>
      </c>
      <c r="AH62" s="427">
        <v>0</v>
      </c>
      <c r="AI62" s="427">
        <v>0</v>
      </c>
      <c r="AJ62" s="427">
        <v>0</v>
      </c>
      <c r="AK62" s="427">
        <v>0</v>
      </c>
      <c r="AL62" s="427">
        <v>0</v>
      </c>
      <c r="AM62" s="427">
        <v>0</v>
      </c>
      <c r="AN62" s="427">
        <v>0</v>
      </c>
      <c r="AO62" s="427">
        <v>0</v>
      </c>
      <c r="AP62" s="427">
        <v>0</v>
      </c>
      <c r="AQ62" s="427">
        <v>0</v>
      </c>
      <c r="AR62" s="427">
        <v>0</v>
      </c>
      <c r="AS62" s="427">
        <v>0</v>
      </c>
      <c r="AT62" s="427">
        <v>0</v>
      </c>
      <c r="AU62" s="427">
        <v>0</v>
      </c>
      <c r="AV62" s="427">
        <v>0</v>
      </c>
      <c r="AW62" s="427">
        <v>0</v>
      </c>
      <c r="AX62" s="427">
        <v>0</v>
      </c>
      <c r="AY62" s="427">
        <v>0</v>
      </c>
      <c r="AZ62" s="427">
        <v>0</v>
      </c>
      <c r="BA62" s="427">
        <v>0</v>
      </c>
      <c r="BB62" s="427">
        <v>0</v>
      </c>
      <c r="BC62" s="427">
        <v>0</v>
      </c>
      <c r="BD62" s="427">
        <v>0</v>
      </c>
      <c r="BE62" s="427">
        <v>0</v>
      </c>
      <c r="BF62" s="427">
        <v>0</v>
      </c>
      <c r="BG62" s="427">
        <v>0</v>
      </c>
      <c r="BH62" s="427">
        <v>0</v>
      </c>
      <c r="BI62" s="427">
        <v>0</v>
      </c>
      <c r="BJ62" s="427">
        <v>0</v>
      </c>
      <c r="BK62" s="427">
        <v>0</v>
      </c>
    </row>
    <row r="63" spans="2:63">
      <c r="B63" s="297" t="s">
        <v>446</v>
      </c>
      <c r="C63" s="298"/>
      <c r="D63" s="443">
        <f>(D58-D61)/1000</f>
        <v>1685.9223999999999</v>
      </c>
      <c r="E63" s="443">
        <f t="shared" ref="E63:I63" si="29">(E58-E61)/1000</f>
        <v>1685.9223999999999</v>
      </c>
      <c r="F63" s="443">
        <f t="shared" si="29"/>
        <v>1685.9223999999999</v>
      </c>
      <c r="G63" s="443">
        <f t="shared" si="29"/>
        <v>1490.8914</v>
      </c>
      <c r="H63" s="443">
        <f>(H58-H61)/1000</f>
        <v>1356.7613999999999</v>
      </c>
      <c r="I63" s="443">
        <f t="shared" si="29"/>
        <v>1254.6843999999999</v>
      </c>
      <c r="J63" s="443">
        <f>(J58-J61)/1000</f>
        <v>1175.8093999999999</v>
      </c>
      <c r="K63" s="443">
        <f>(K58-K61)/1000</f>
        <v>583.04100000000005</v>
      </c>
      <c r="L63" s="443">
        <f>K63</f>
        <v>583.04100000000005</v>
      </c>
      <c r="M63" s="443">
        <f t="shared" ref="M63:BK63" si="30">L63</f>
        <v>583.04100000000005</v>
      </c>
      <c r="N63" s="443">
        <f t="shared" si="30"/>
        <v>583.04100000000005</v>
      </c>
      <c r="O63" s="443">
        <f t="shared" si="30"/>
        <v>583.04100000000005</v>
      </c>
      <c r="P63" s="443">
        <f t="shared" si="30"/>
        <v>583.04100000000005</v>
      </c>
      <c r="Q63" s="443">
        <f t="shared" si="30"/>
        <v>583.04100000000005</v>
      </c>
      <c r="R63" s="443">
        <f t="shared" si="30"/>
        <v>583.04100000000005</v>
      </c>
      <c r="S63" s="443">
        <f t="shared" si="30"/>
        <v>583.04100000000005</v>
      </c>
      <c r="T63" s="443">
        <f t="shared" si="30"/>
        <v>583.04100000000005</v>
      </c>
      <c r="U63" s="443">
        <f t="shared" si="30"/>
        <v>583.04100000000005</v>
      </c>
      <c r="V63" s="443">
        <f t="shared" si="30"/>
        <v>583.04100000000005</v>
      </c>
      <c r="W63" s="443">
        <f t="shared" si="30"/>
        <v>583.04100000000005</v>
      </c>
      <c r="X63" s="443">
        <f t="shared" si="30"/>
        <v>583.04100000000005</v>
      </c>
      <c r="Y63" s="443">
        <f t="shared" si="30"/>
        <v>583.04100000000005</v>
      </c>
      <c r="Z63" s="443">
        <f t="shared" si="30"/>
        <v>583.04100000000005</v>
      </c>
      <c r="AA63" s="443">
        <f t="shared" si="30"/>
        <v>583.04100000000005</v>
      </c>
      <c r="AB63" s="443">
        <f t="shared" si="30"/>
        <v>583.04100000000005</v>
      </c>
      <c r="AC63" s="443">
        <f t="shared" si="30"/>
        <v>583.04100000000005</v>
      </c>
      <c r="AD63" s="443">
        <f t="shared" si="30"/>
        <v>583.04100000000005</v>
      </c>
      <c r="AE63" s="443">
        <f t="shared" si="30"/>
        <v>583.04100000000005</v>
      </c>
      <c r="AF63" s="443">
        <f t="shared" si="30"/>
        <v>583.04100000000005</v>
      </c>
      <c r="AG63" s="443">
        <f t="shared" si="30"/>
        <v>583.04100000000005</v>
      </c>
      <c r="AH63" s="443">
        <f t="shared" si="30"/>
        <v>583.04100000000005</v>
      </c>
      <c r="AI63" s="443">
        <f t="shared" si="30"/>
        <v>583.04100000000005</v>
      </c>
      <c r="AJ63" s="443">
        <f t="shared" si="30"/>
        <v>583.04100000000005</v>
      </c>
      <c r="AK63" s="443">
        <f t="shared" si="30"/>
        <v>583.04100000000005</v>
      </c>
      <c r="AL63" s="443">
        <f t="shared" si="30"/>
        <v>583.04100000000005</v>
      </c>
      <c r="AM63" s="443">
        <f t="shared" si="30"/>
        <v>583.04100000000005</v>
      </c>
      <c r="AN63" s="443">
        <f t="shared" si="30"/>
        <v>583.04100000000005</v>
      </c>
      <c r="AO63" s="443">
        <f t="shared" si="30"/>
        <v>583.04100000000005</v>
      </c>
      <c r="AP63" s="443">
        <f t="shared" si="30"/>
        <v>583.04100000000005</v>
      </c>
      <c r="AQ63" s="443">
        <f t="shared" si="30"/>
        <v>583.04100000000005</v>
      </c>
      <c r="AR63" s="443">
        <f t="shared" si="30"/>
        <v>583.04100000000005</v>
      </c>
      <c r="AS63" s="443">
        <f t="shared" si="30"/>
        <v>583.04100000000005</v>
      </c>
      <c r="AT63" s="443">
        <f t="shared" si="30"/>
        <v>583.04100000000005</v>
      </c>
      <c r="AU63" s="443">
        <f t="shared" si="30"/>
        <v>583.04100000000005</v>
      </c>
      <c r="AV63" s="443">
        <f t="shared" si="30"/>
        <v>583.04100000000005</v>
      </c>
      <c r="AW63" s="443">
        <f t="shared" si="30"/>
        <v>583.04100000000005</v>
      </c>
      <c r="AX63" s="443">
        <f t="shared" si="30"/>
        <v>583.04100000000005</v>
      </c>
      <c r="AY63" s="443">
        <f t="shared" si="30"/>
        <v>583.04100000000005</v>
      </c>
      <c r="AZ63" s="443">
        <f t="shared" si="30"/>
        <v>583.04100000000005</v>
      </c>
      <c r="BA63" s="443">
        <f t="shared" si="30"/>
        <v>583.04100000000005</v>
      </c>
      <c r="BB63" s="443">
        <f t="shared" si="30"/>
        <v>583.04100000000005</v>
      </c>
      <c r="BC63" s="443">
        <f t="shared" si="30"/>
        <v>583.04100000000005</v>
      </c>
      <c r="BD63" s="443">
        <f t="shared" si="30"/>
        <v>583.04100000000005</v>
      </c>
      <c r="BE63" s="443">
        <f t="shared" si="30"/>
        <v>583.04100000000005</v>
      </c>
      <c r="BF63" s="443">
        <f t="shared" si="30"/>
        <v>583.04100000000005</v>
      </c>
      <c r="BG63" s="443">
        <f t="shared" si="30"/>
        <v>583.04100000000005</v>
      </c>
      <c r="BH63" s="443">
        <f t="shared" si="30"/>
        <v>583.04100000000005</v>
      </c>
      <c r="BI63" s="443">
        <f t="shared" si="30"/>
        <v>583.04100000000005</v>
      </c>
      <c r="BJ63" s="443">
        <f t="shared" si="30"/>
        <v>583.04100000000005</v>
      </c>
      <c r="BK63" s="443">
        <f t="shared" si="30"/>
        <v>583.04100000000005</v>
      </c>
    </row>
    <row r="64" spans="2:63">
      <c r="E64" s="424"/>
      <c r="F64" s="424"/>
      <c r="G64" s="424"/>
      <c r="H64" s="424"/>
      <c r="I64" s="424"/>
      <c r="J64" s="424"/>
      <c r="K64" s="424"/>
      <c r="L64" s="424"/>
      <c r="M64" s="424"/>
    </row>
    <row r="65" spans="2:63">
      <c r="B65" s="430" t="s">
        <v>447</v>
      </c>
      <c r="C65" s="431"/>
      <c r="D65" s="427">
        <f>D63*11.52*30</f>
        <v>582654.78143999993</v>
      </c>
      <c r="E65" s="427">
        <f t="shared" ref="E65:BK65" si="31">E63*11.52*30</f>
        <v>582654.78143999993</v>
      </c>
      <c r="F65" s="427">
        <f t="shared" si="31"/>
        <v>582654.78143999993</v>
      </c>
      <c r="G65" s="427">
        <f t="shared" si="31"/>
        <v>515252.06784000003</v>
      </c>
      <c r="H65" s="427">
        <f t="shared" si="31"/>
        <v>468896.73983999994</v>
      </c>
      <c r="I65" s="427">
        <f t="shared" si="31"/>
        <v>433618.92863999994</v>
      </c>
      <c r="J65" s="427">
        <f t="shared" si="31"/>
        <v>406359.72863999993</v>
      </c>
      <c r="K65" s="427">
        <f t="shared" si="31"/>
        <v>201498.96960000001</v>
      </c>
      <c r="L65" s="427">
        <f t="shared" si="31"/>
        <v>201498.96960000001</v>
      </c>
      <c r="M65" s="427">
        <f t="shared" si="31"/>
        <v>201498.96960000001</v>
      </c>
      <c r="N65" s="427">
        <f>N63*11.52*30</f>
        <v>201498.96960000001</v>
      </c>
      <c r="O65" s="427">
        <f t="shared" si="31"/>
        <v>201498.96960000001</v>
      </c>
      <c r="P65" s="427">
        <f t="shared" si="31"/>
        <v>201498.96960000001</v>
      </c>
      <c r="Q65" s="427">
        <f t="shared" si="31"/>
        <v>201498.96960000001</v>
      </c>
      <c r="R65" s="427">
        <f t="shared" si="31"/>
        <v>201498.96960000001</v>
      </c>
      <c r="S65" s="427">
        <f t="shared" si="31"/>
        <v>201498.96960000001</v>
      </c>
      <c r="T65" s="427">
        <f t="shared" si="31"/>
        <v>201498.96960000001</v>
      </c>
      <c r="U65" s="427">
        <f t="shared" si="31"/>
        <v>201498.96960000001</v>
      </c>
      <c r="V65" s="427">
        <f t="shared" si="31"/>
        <v>201498.96960000001</v>
      </c>
      <c r="W65" s="427">
        <f t="shared" si="31"/>
        <v>201498.96960000001</v>
      </c>
      <c r="X65" s="427">
        <f t="shared" si="31"/>
        <v>201498.96960000001</v>
      </c>
      <c r="Y65" s="427">
        <f t="shared" si="31"/>
        <v>201498.96960000001</v>
      </c>
      <c r="Z65" s="427">
        <f t="shared" si="31"/>
        <v>201498.96960000001</v>
      </c>
      <c r="AA65" s="427">
        <f t="shared" si="31"/>
        <v>201498.96960000001</v>
      </c>
      <c r="AB65" s="427">
        <f t="shared" si="31"/>
        <v>201498.96960000001</v>
      </c>
      <c r="AC65" s="427">
        <f t="shared" si="31"/>
        <v>201498.96960000001</v>
      </c>
      <c r="AD65" s="427">
        <f t="shared" si="31"/>
        <v>201498.96960000001</v>
      </c>
      <c r="AE65" s="427">
        <f t="shared" si="31"/>
        <v>201498.96960000001</v>
      </c>
      <c r="AF65" s="427">
        <f t="shared" si="31"/>
        <v>201498.96960000001</v>
      </c>
      <c r="AG65" s="427">
        <f t="shared" si="31"/>
        <v>201498.96960000001</v>
      </c>
      <c r="AH65" s="427">
        <f t="shared" si="31"/>
        <v>201498.96960000001</v>
      </c>
      <c r="AI65" s="427">
        <f t="shared" si="31"/>
        <v>201498.96960000001</v>
      </c>
      <c r="AJ65" s="427">
        <f t="shared" si="31"/>
        <v>201498.96960000001</v>
      </c>
      <c r="AK65" s="427">
        <f t="shared" si="31"/>
        <v>201498.96960000001</v>
      </c>
      <c r="AL65" s="427">
        <f t="shared" si="31"/>
        <v>201498.96960000001</v>
      </c>
      <c r="AM65" s="427">
        <f t="shared" si="31"/>
        <v>201498.96960000001</v>
      </c>
      <c r="AN65" s="427">
        <f t="shared" si="31"/>
        <v>201498.96960000001</v>
      </c>
      <c r="AO65" s="427">
        <f t="shared" si="31"/>
        <v>201498.96960000001</v>
      </c>
      <c r="AP65" s="427">
        <f t="shared" si="31"/>
        <v>201498.96960000001</v>
      </c>
      <c r="AQ65" s="427">
        <f t="shared" si="31"/>
        <v>201498.96960000001</v>
      </c>
      <c r="AR65" s="427">
        <f t="shared" si="31"/>
        <v>201498.96960000001</v>
      </c>
      <c r="AS65" s="427">
        <f t="shared" si="31"/>
        <v>201498.96960000001</v>
      </c>
      <c r="AT65" s="427">
        <f t="shared" si="31"/>
        <v>201498.96960000001</v>
      </c>
      <c r="AU65" s="427">
        <f t="shared" si="31"/>
        <v>201498.96960000001</v>
      </c>
      <c r="AV65" s="427">
        <f t="shared" si="31"/>
        <v>201498.96960000001</v>
      </c>
      <c r="AW65" s="427">
        <f t="shared" si="31"/>
        <v>201498.96960000001</v>
      </c>
      <c r="AX65" s="427">
        <f t="shared" si="31"/>
        <v>201498.96960000001</v>
      </c>
      <c r="AY65" s="427">
        <f t="shared" si="31"/>
        <v>201498.96960000001</v>
      </c>
      <c r="AZ65" s="427">
        <f t="shared" si="31"/>
        <v>201498.96960000001</v>
      </c>
      <c r="BA65" s="427">
        <f t="shared" si="31"/>
        <v>201498.96960000001</v>
      </c>
      <c r="BB65" s="427">
        <f t="shared" si="31"/>
        <v>201498.96960000001</v>
      </c>
      <c r="BC65" s="427">
        <f t="shared" si="31"/>
        <v>201498.96960000001</v>
      </c>
      <c r="BD65" s="427">
        <f t="shared" si="31"/>
        <v>201498.96960000001</v>
      </c>
      <c r="BE65" s="427">
        <f t="shared" si="31"/>
        <v>201498.96960000001</v>
      </c>
      <c r="BF65" s="427">
        <f t="shared" si="31"/>
        <v>201498.96960000001</v>
      </c>
      <c r="BG65" s="427">
        <f t="shared" si="31"/>
        <v>201498.96960000001</v>
      </c>
      <c r="BH65" s="427">
        <f t="shared" si="31"/>
        <v>201498.96960000001</v>
      </c>
      <c r="BI65" s="427">
        <f t="shared" si="31"/>
        <v>201498.96960000001</v>
      </c>
      <c r="BJ65" s="427">
        <f t="shared" si="31"/>
        <v>201498.96960000001</v>
      </c>
      <c r="BK65" s="427">
        <f t="shared" si="31"/>
        <v>201498.96960000001</v>
      </c>
    </row>
    <row r="66" spans="2:63">
      <c r="B66" s="444" t="s">
        <v>448</v>
      </c>
      <c r="C66" s="445">
        <f>SUM(D66:BK66)</f>
        <v>8728667.4907824639</v>
      </c>
      <c r="D66" s="446">
        <f>D65*'2. ECONOMIA DE ENERGIA'!$W$22</f>
        <v>356859.73929811968</v>
      </c>
      <c r="E66" s="446">
        <f>E65*'2. ECONOMIA DE ENERGIA'!$W$22</f>
        <v>356859.73929811968</v>
      </c>
      <c r="F66" s="446">
        <f>F65*'2. ECONOMIA DE ENERGIA'!$W$22</f>
        <v>356859.73929811968</v>
      </c>
      <c r="G66" s="446">
        <f>G65*'2. ECONOMIA DE ENERGIA'!$W$22</f>
        <v>315577.46449410048</v>
      </c>
      <c r="H66" s="446">
        <f>H65*'2. ECONOMIA DE ENERGIA'!$W$22</f>
        <v>287186.12404328445</v>
      </c>
      <c r="I66" s="446">
        <f>I65*'2. ECONOMIA DE ENERGIA'!$W$22</f>
        <v>265579.45246199804</v>
      </c>
      <c r="J66" s="446">
        <f>J65*'2. ECONOMIA DE ENERGIA'!$W$22</f>
        <v>248883.95571959805</v>
      </c>
      <c r="K66" s="446">
        <f>K65*'2. ECONOMIA DE ENERGIA'!$W$22</f>
        <v>123412.47690885121</v>
      </c>
      <c r="L66" s="446">
        <f>L65*'2. ECONOMIA DE ENERGIA'!$W$22</f>
        <v>123412.47690885121</v>
      </c>
      <c r="M66" s="446">
        <f>M65*'2. ECONOMIA DE ENERGIA'!$W$22</f>
        <v>123412.47690885121</v>
      </c>
      <c r="N66" s="446">
        <f>N65*'2. ECONOMIA DE ENERGIA'!$W$22</f>
        <v>123412.47690885121</v>
      </c>
      <c r="O66" s="446">
        <f>O65*'2. ECONOMIA DE ENERGIA'!$W$22</f>
        <v>123412.47690885121</v>
      </c>
      <c r="P66" s="446">
        <f>P65*'2. ECONOMIA DE ENERGIA'!$W$22</f>
        <v>123412.47690885121</v>
      </c>
      <c r="Q66" s="446">
        <f>Q65*'2. ECONOMIA DE ENERGIA'!$W$22</f>
        <v>123412.47690885121</v>
      </c>
      <c r="R66" s="446">
        <f>R65*'2. ECONOMIA DE ENERGIA'!$W$22</f>
        <v>123412.47690885121</v>
      </c>
      <c r="S66" s="446">
        <f>S65*'2. ECONOMIA DE ENERGIA'!$W$22</f>
        <v>123412.47690885121</v>
      </c>
      <c r="T66" s="446">
        <f>T65*'2. ECONOMIA DE ENERGIA'!$W$22</f>
        <v>123412.47690885121</v>
      </c>
      <c r="U66" s="446">
        <f>U65*'2. ECONOMIA DE ENERGIA'!$W$22</f>
        <v>123412.47690885121</v>
      </c>
      <c r="V66" s="446">
        <f>V65*'2. ECONOMIA DE ENERGIA'!$W$22</f>
        <v>123412.47690885121</v>
      </c>
      <c r="W66" s="446">
        <f>W65*'2. ECONOMIA DE ENERGIA'!$W$22</f>
        <v>123412.47690885121</v>
      </c>
      <c r="X66" s="446">
        <f>X65*'2. ECONOMIA DE ENERGIA'!$W$22</f>
        <v>123412.47690885121</v>
      </c>
      <c r="Y66" s="446">
        <f>Y65*'2. ECONOMIA DE ENERGIA'!$W$22</f>
        <v>123412.47690885121</v>
      </c>
      <c r="Z66" s="446">
        <f>Z65*'2. ECONOMIA DE ENERGIA'!$W$22</f>
        <v>123412.47690885121</v>
      </c>
      <c r="AA66" s="446">
        <f>AA65*'2. ECONOMIA DE ENERGIA'!$W$22</f>
        <v>123412.47690885121</v>
      </c>
      <c r="AB66" s="446">
        <f>AB65*'2. ECONOMIA DE ENERGIA'!$W$22</f>
        <v>123412.47690885121</v>
      </c>
      <c r="AC66" s="446">
        <f>AC65*'2. ECONOMIA DE ENERGIA'!$W$22</f>
        <v>123412.47690885121</v>
      </c>
      <c r="AD66" s="446">
        <f>AD65*'2. ECONOMIA DE ENERGIA'!$W$22</f>
        <v>123412.47690885121</v>
      </c>
      <c r="AE66" s="446">
        <f>AE65*'2. ECONOMIA DE ENERGIA'!$W$22</f>
        <v>123412.47690885121</v>
      </c>
      <c r="AF66" s="446">
        <f>AF65*'2. ECONOMIA DE ENERGIA'!$W$22</f>
        <v>123412.47690885121</v>
      </c>
      <c r="AG66" s="446">
        <f>AG65*'2. ECONOMIA DE ENERGIA'!$W$22</f>
        <v>123412.47690885121</v>
      </c>
      <c r="AH66" s="446">
        <f>AH65*'2. ECONOMIA DE ENERGIA'!$W$22</f>
        <v>123412.47690885121</v>
      </c>
      <c r="AI66" s="446">
        <f>AI65*'2. ECONOMIA DE ENERGIA'!$W$22</f>
        <v>123412.47690885121</v>
      </c>
      <c r="AJ66" s="446">
        <f>AJ65*'2. ECONOMIA DE ENERGIA'!$W$22</f>
        <v>123412.47690885121</v>
      </c>
      <c r="AK66" s="446">
        <f>AK65*'2. ECONOMIA DE ENERGIA'!$W$22</f>
        <v>123412.47690885121</v>
      </c>
      <c r="AL66" s="446">
        <f>AL65*'2. ECONOMIA DE ENERGIA'!$W$22</f>
        <v>123412.47690885121</v>
      </c>
      <c r="AM66" s="446">
        <f>AM65*'2. ECONOMIA DE ENERGIA'!$W$22</f>
        <v>123412.47690885121</v>
      </c>
      <c r="AN66" s="446">
        <f>AN65*'2. ECONOMIA DE ENERGIA'!$W$22</f>
        <v>123412.47690885121</v>
      </c>
      <c r="AO66" s="446">
        <f>AO65*'2. ECONOMIA DE ENERGIA'!$W$22</f>
        <v>123412.47690885121</v>
      </c>
      <c r="AP66" s="446">
        <f>AP65*'2. ECONOMIA DE ENERGIA'!$W$22</f>
        <v>123412.47690885121</v>
      </c>
      <c r="AQ66" s="446">
        <f>AQ65*'2. ECONOMIA DE ENERGIA'!$W$22</f>
        <v>123412.47690885121</v>
      </c>
      <c r="AR66" s="446">
        <f>AR65*'2. ECONOMIA DE ENERGIA'!$W$22</f>
        <v>123412.47690885121</v>
      </c>
      <c r="AS66" s="446">
        <f>AS65*'2. ECONOMIA DE ENERGIA'!$W$22</f>
        <v>123412.47690885121</v>
      </c>
      <c r="AT66" s="446">
        <f>AT65*'2. ECONOMIA DE ENERGIA'!$W$22</f>
        <v>123412.47690885121</v>
      </c>
      <c r="AU66" s="446">
        <f>AU65*'2. ECONOMIA DE ENERGIA'!$W$22</f>
        <v>123412.47690885121</v>
      </c>
      <c r="AV66" s="446">
        <f>AV65*'2. ECONOMIA DE ENERGIA'!$W$22</f>
        <v>123412.47690885121</v>
      </c>
      <c r="AW66" s="446">
        <f>AW65*'2. ECONOMIA DE ENERGIA'!$W$22</f>
        <v>123412.47690885121</v>
      </c>
      <c r="AX66" s="446">
        <f>AX65*'2. ECONOMIA DE ENERGIA'!$W$22</f>
        <v>123412.47690885121</v>
      </c>
      <c r="AY66" s="446">
        <f>AY65*'2. ECONOMIA DE ENERGIA'!$W$22</f>
        <v>123412.47690885121</v>
      </c>
      <c r="AZ66" s="446">
        <f>AZ65*'2. ECONOMIA DE ENERGIA'!$W$22</f>
        <v>123412.47690885121</v>
      </c>
      <c r="BA66" s="446">
        <f>BA65*'2. ECONOMIA DE ENERGIA'!$W$22</f>
        <v>123412.47690885121</v>
      </c>
      <c r="BB66" s="446">
        <f>BB65*'2. ECONOMIA DE ENERGIA'!$W$22</f>
        <v>123412.47690885121</v>
      </c>
      <c r="BC66" s="446">
        <f>BC65*'2. ECONOMIA DE ENERGIA'!$W$22</f>
        <v>123412.47690885121</v>
      </c>
      <c r="BD66" s="446">
        <f>BD65*'2. ECONOMIA DE ENERGIA'!$W$22</f>
        <v>123412.47690885121</v>
      </c>
      <c r="BE66" s="446">
        <f>BE65*'2. ECONOMIA DE ENERGIA'!$W$22</f>
        <v>123412.47690885121</v>
      </c>
      <c r="BF66" s="446">
        <f>BF65*'2. ECONOMIA DE ENERGIA'!$W$22</f>
        <v>123412.47690885121</v>
      </c>
      <c r="BG66" s="446">
        <f>BG65*'2. ECONOMIA DE ENERGIA'!$W$22</f>
        <v>123412.47690885121</v>
      </c>
      <c r="BH66" s="446">
        <f>BH65*'2. ECONOMIA DE ENERGIA'!$W$22</f>
        <v>123412.47690885121</v>
      </c>
      <c r="BI66" s="446">
        <f>BI65*'2. ECONOMIA DE ENERGIA'!$W$22</f>
        <v>123412.47690885121</v>
      </c>
      <c r="BJ66" s="446">
        <f>BJ65*'2. ECONOMIA DE ENERGIA'!$W$22</f>
        <v>123412.47690885121</v>
      </c>
      <c r="BK66" s="446">
        <f>BK65*'2. ECONOMIA DE ENERGIA'!$W$22</f>
        <v>123412.47690885121</v>
      </c>
    </row>
    <row r="71" spans="2:63" hidden="1"/>
    <row r="72" spans="2:63" hidden="1">
      <c r="F72" s="427">
        <v>931</v>
      </c>
      <c r="G72" s="427">
        <v>1100</v>
      </c>
      <c r="H72" s="427">
        <v>931</v>
      </c>
    </row>
    <row r="73" spans="2:63" hidden="1">
      <c r="F73" s="422">
        <v>269</v>
      </c>
      <c r="G73" s="422">
        <v>200</v>
      </c>
      <c r="H73" s="422">
        <v>0</v>
      </c>
    </row>
    <row r="74" spans="2:63" hidden="1">
      <c r="F74" s="422">
        <v>50</v>
      </c>
      <c r="G74" s="422">
        <v>0</v>
      </c>
      <c r="H74" s="422">
        <v>0</v>
      </c>
    </row>
    <row r="75" spans="2:63" hidden="1"/>
  </sheetData>
  <mergeCells count="6">
    <mergeCell ref="J3:N3"/>
    <mergeCell ref="B45:B46"/>
    <mergeCell ref="E4:G4"/>
    <mergeCell ref="D18:E29"/>
    <mergeCell ref="D31:E36"/>
    <mergeCell ref="D38:E41"/>
  </mergeCells>
  <pageMargins left="0.51181102362204722" right="0.51181102362204722" top="1.1417322834645669" bottom="0.78740157480314965" header="0.31496062992125984" footer="0.31496062992125984"/>
  <pageSetup paperSize="9" scale="53" orientation="portrait" r:id="rId1"/>
  <headerFooter>
    <oddHeader>&amp;C&amp;G</oddHeader>
  </headerFooter>
  <colBreaks count="6" manualBreakCount="6">
    <brk id="9" max="65" man="1"/>
    <brk id="18" max="1048575" man="1"/>
    <brk id="27" max="1048575" man="1"/>
    <brk id="36" max="1048575" man="1"/>
    <brk id="45" max="1048575" man="1"/>
    <brk id="54" max="1048575" man="1"/>
  </colBreaks>
  <ignoredErrors>
    <ignoredError sqref="C20 C22 C24 C26 C28 C33 C35 C40" formula="1"/>
    <ignoredError sqref="G19 G21 G23 G25 G27 G29 G34 G36" formulaRange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1. RESUMO DE PROJETO</vt:lpstr>
      <vt:lpstr>2. ECONOMIA DE ENERGIA</vt:lpstr>
      <vt:lpstr>3. INVESTIMENTO GLOBAL</vt:lpstr>
      <vt:lpstr>4. COMPOSIÇÃO DOS SERVIÇOS</vt:lpstr>
      <vt:lpstr>4.a_KIT DE MATERIAIS</vt:lpstr>
      <vt:lpstr>4.b_SERV_MAO OBRA OPERACIONAL</vt:lpstr>
      <vt:lpstr>4.c_SERV._TÉCNICO E ENGENHARIA</vt:lpstr>
      <vt:lpstr>4.d_EQUIPAMENTOS_VEÍCULOS</vt:lpstr>
      <vt:lpstr>5. CRONOGRAMA DE EXECUÇÃO</vt:lpstr>
      <vt:lpstr>6. COMPOSIÇÃO DE BDI</vt:lpstr>
      <vt:lpstr>7. ADM LOCAL</vt:lpstr>
      <vt:lpstr>8. ESTUDO DE FLUXO MINIMO</vt:lpstr>
      <vt:lpstr>ANEXO E TERMO DE REFERENCIA</vt:lpstr>
      <vt:lpstr>'ANEXO E TERMO DE REFERENCIA'!Area_de_impressao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THAIS</cp:lastModifiedBy>
  <cp:lastPrinted>2021-11-09T14:01:18Z</cp:lastPrinted>
  <dcterms:created xsi:type="dcterms:W3CDTF">2021-08-05T14:31:25Z</dcterms:created>
  <dcterms:modified xsi:type="dcterms:W3CDTF">2021-11-09T14:01:22Z</dcterms:modified>
</cp:coreProperties>
</file>